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prodriguez\Desktop\AGOSTO\"/>
    </mc:Choice>
  </mc:AlternateContent>
  <bookViews>
    <workbookView xWindow="-105" yWindow="-105" windowWidth="23250" windowHeight="12570"/>
  </bookViews>
  <sheets>
    <sheet name="PERSONAL FIJO 082022" sheetId="3" r:id="rId1"/>
    <sheet name="EMPLEADOS TEMPORALES 082022" sheetId="1" r:id="rId2"/>
    <sheet name="PERIODO PROBATORIO 082022" sheetId="2" r:id="rId3"/>
    <sheet name="TRAMITE DE PENSION 082022 " sheetId="5" r:id="rId4"/>
    <sheet name="COMPENSACIÓN 082022" sheetId="4" r:id="rId5"/>
  </sheets>
  <definedNames>
    <definedName name="_xlnm.Print_Titles" localSheetId="1">'EMPLEADOS TEMPORALES 082022'!$1:$7</definedName>
    <definedName name="_xlnm.Print_Titles" localSheetId="0">'PERSONAL FIJO 082022'!$1:$7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7" i="3" l="1"/>
  <c r="L137" i="3" s="1"/>
  <c r="K123" i="3"/>
  <c r="L123" i="3" s="1"/>
  <c r="K119" i="3"/>
  <c r="L119" i="3" s="1"/>
  <c r="K113" i="3"/>
  <c r="L113" i="3" s="1"/>
  <c r="L87" i="3"/>
  <c r="K35" i="3"/>
  <c r="L35" i="3" s="1"/>
  <c r="K33" i="3"/>
  <c r="L33" i="3" s="1"/>
  <c r="K17" i="3"/>
  <c r="L17" i="3" s="1"/>
  <c r="K40" i="3"/>
  <c r="L40" i="3" s="1"/>
  <c r="I74" i="3"/>
  <c r="H74" i="3"/>
  <c r="K34" i="3"/>
  <c r="L34" i="3" s="1"/>
  <c r="I38" i="3"/>
  <c r="K38" i="3" s="1"/>
  <c r="L38" i="3" s="1"/>
  <c r="H38" i="3"/>
  <c r="K91" i="3"/>
  <c r="L91" i="3" s="1"/>
  <c r="I82" i="3"/>
  <c r="H82" i="3"/>
  <c r="L131" i="1"/>
  <c r="M131" i="1" s="1"/>
  <c r="L127" i="1"/>
  <c r="M127" i="1" s="1"/>
  <c r="L122" i="1"/>
  <c r="M122" i="1" s="1"/>
  <c r="L119" i="1"/>
  <c r="M119" i="1" s="1"/>
  <c r="L99" i="1"/>
  <c r="M99" i="1" s="1"/>
  <c r="L79" i="1"/>
  <c r="M79" i="1" s="1"/>
  <c r="L71" i="1"/>
  <c r="M71" i="1" s="1"/>
  <c r="L62" i="1"/>
  <c r="M62" i="1" s="1"/>
  <c r="L52" i="1"/>
  <c r="M52" i="1" s="1"/>
  <c r="L48" i="1"/>
  <c r="M48" i="1" s="1"/>
  <c r="L47" i="1"/>
  <c r="M47" i="1" s="1"/>
  <c r="L46" i="1"/>
  <c r="M46" i="1" s="1"/>
  <c r="L38" i="1"/>
  <c r="M38" i="1" s="1"/>
  <c r="L31" i="1"/>
  <c r="M31" i="1" s="1"/>
  <c r="L76" i="1"/>
  <c r="M76" i="1" s="1"/>
  <c r="K74" i="3" l="1"/>
  <c r="L74" i="3" s="1"/>
  <c r="K82" i="3"/>
  <c r="L82" i="3" s="1"/>
  <c r="J96" i="1"/>
  <c r="I96" i="1"/>
  <c r="H96" i="1"/>
  <c r="J124" i="1"/>
  <c r="I124" i="1"/>
  <c r="J26" i="1"/>
  <c r="I26" i="1"/>
  <c r="K145" i="3"/>
  <c r="L145" i="3" s="1"/>
  <c r="K144" i="3"/>
  <c r="L144" i="3" s="1"/>
  <c r="K143" i="3"/>
  <c r="L143" i="3" s="1"/>
  <c r="K142" i="3"/>
  <c r="L142" i="3" s="1"/>
  <c r="K135" i="3"/>
  <c r="L135" i="3" s="1"/>
  <c r="K127" i="3"/>
  <c r="L127" i="3" s="1"/>
  <c r="K126" i="3"/>
  <c r="L126" i="3" s="1"/>
  <c r="K125" i="3"/>
  <c r="L125" i="3" s="1"/>
  <c r="K121" i="3"/>
  <c r="L121" i="3" s="1"/>
  <c r="K111" i="3"/>
  <c r="L111" i="3" s="1"/>
  <c r="K97" i="3"/>
  <c r="L97" i="3" s="1"/>
  <c r="K96" i="3"/>
  <c r="L96" i="3" s="1"/>
  <c r="K95" i="3"/>
  <c r="L95" i="3" s="1"/>
  <c r="K85" i="3"/>
  <c r="L85" i="3" s="1"/>
  <c r="K80" i="3"/>
  <c r="L80" i="3" s="1"/>
  <c r="K78" i="3"/>
  <c r="L78" i="3" s="1"/>
  <c r="K67" i="3"/>
  <c r="L67" i="3" s="1"/>
  <c r="K53" i="3"/>
  <c r="L53" i="3" s="1"/>
  <c r="L50" i="3"/>
  <c r="K49" i="3"/>
  <c r="L49" i="3" s="1"/>
  <c r="K47" i="3"/>
  <c r="L47" i="3" s="1"/>
  <c r="K43" i="3"/>
  <c r="L43" i="3" s="1"/>
  <c r="K37" i="3"/>
  <c r="L37" i="3" s="1"/>
  <c r="K36" i="3"/>
  <c r="L36" i="3" s="1"/>
  <c r="K32" i="3"/>
  <c r="L32" i="3" s="1"/>
  <c r="K30" i="3"/>
  <c r="L30" i="3" s="1"/>
  <c r="K31" i="3"/>
  <c r="L31" i="3" s="1"/>
  <c r="K26" i="3"/>
  <c r="L26" i="3" s="1"/>
  <c r="L40" i="1"/>
  <c r="M40" i="1" s="1"/>
  <c r="L17" i="1"/>
  <c r="M17" i="1" s="1"/>
  <c r="L16" i="1"/>
  <c r="M16" i="1" s="1"/>
  <c r="L105" i="1"/>
  <c r="M105" i="1" s="1"/>
  <c r="L104" i="1"/>
  <c r="M104" i="1" s="1"/>
  <c r="K19" i="3"/>
  <c r="L19" i="3" s="1"/>
  <c r="K21" i="3"/>
  <c r="L21" i="3" s="1"/>
  <c r="K20" i="3"/>
  <c r="L20" i="3" s="1"/>
  <c r="K18" i="3"/>
  <c r="L18" i="3" s="1"/>
  <c r="L129" i="1"/>
  <c r="M129" i="1" s="1"/>
  <c r="L121" i="1"/>
  <c r="M121" i="1" s="1"/>
  <c r="L120" i="1"/>
  <c r="M120" i="1" s="1"/>
  <c r="L111" i="1"/>
  <c r="M111" i="1" s="1"/>
  <c r="L109" i="1"/>
  <c r="M109" i="1" s="1"/>
  <c r="L107" i="1"/>
  <c r="M107" i="1" s="1"/>
  <c r="L106" i="1"/>
  <c r="M106" i="1" s="1"/>
  <c r="L102" i="1"/>
  <c r="M102" i="1" s="1"/>
  <c r="L100" i="1"/>
  <c r="M100" i="1" s="1"/>
  <c r="L98" i="1"/>
  <c r="M98" i="1" s="1"/>
  <c r="L97" i="1"/>
  <c r="M97" i="1" s="1"/>
  <c r="L94" i="1"/>
  <c r="M94" i="1" s="1"/>
  <c r="L91" i="1"/>
  <c r="M91" i="1" s="1"/>
  <c r="L93" i="1"/>
  <c r="M93" i="1" s="1"/>
  <c r="L88" i="1"/>
  <c r="M88" i="1" s="1"/>
  <c r="L82" i="1"/>
  <c r="M82" i="1" s="1"/>
  <c r="L78" i="1"/>
  <c r="M78" i="1" s="1"/>
  <c r="L75" i="1"/>
  <c r="M75" i="1" s="1"/>
  <c r="L73" i="1"/>
  <c r="M73" i="1" s="1"/>
  <c r="L72" i="1"/>
  <c r="M72" i="1" s="1"/>
  <c r="L70" i="1"/>
  <c r="M70" i="1" s="1"/>
  <c r="L59" i="1"/>
  <c r="M59" i="1" s="1"/>
  <c r="L56" i="1"/>
  <c r="M56" i="1" s="1"/>
  <c r="L26" i="1" l="1"/>
  <c r="M26" i="1" s="1"/>
  <c r="L96" i="1"/>
  <c r="M96" i="1" s="1"/>
  <c r="L124" i="1"/>
  <c r="M124" i="1" s="1"/>
  <c r="L45" i="1"/>
  <c r="M45" i="1" s="1"/>
  <c r="L37" i="1"/>
  <c r="M37" i="1" s="1"/>
  <c r="L36" i="1"/>
  <c r="M36" i="1" s="1"/>
  <c r="L27" i="1"/>
  <c r="M27" i="1" s="1"/>
  <c r="L22" i="1"/>
  <c r="M22" i="1" s="1"/>
  <c r="L12" i="1"/>
  <c r="M12" i="1" s="1"/>
  <c r="L9" i="1"/>
  <c r="M9" i="1" s="1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9" i="4"/>
  <c r="J10" i="5" l="1"/>
  <c r="G10" i="5"/>
  <c r="F10" i="5"/>
  <c r="I9" i="5"/>
  <c r="I10" i="5" s="1"/>
  <c r="H9" i="5"/>
  <c r="H10" i="5" s="1"/>
  <c r="K9" i="5" l="1"/>
  <c r="K10" i="5" s="1"/>
  <c r="F27" i="4"/>
  <c r="E27" i="4"/>
  <c r="N152" i="3"/>
  <c r="L152" i="3"/>
  <c r="K152" i="3"/>
  <c r="J152" i="3"/>
  <c r="I152" i="3"/>
  <c r="H152" i="3"/>
  <c r="G152" i="3"/>
  <c r="F152" i="3"/>
  <c r="L9" i="5" l="1"/>
  <c r="L10" i="5" s="1"/>
  <c r="H10" i="2"/>
  <c r="K10" i="2"/>
  <c r="G10" i="2"/>
  <c r="J10" i="2"/>
  <c r="O132" i="1"/>
  <c r="M132" i="1"/>
  <c r="L132" i="1"/>
  <c r="K132" i="1"/>
  <c r="J132" i="1"/>
  <c r="I132" i="1"/>
  <c r="H132" i="1"/>
  <c r="G132" i="1"/>
  <c r="G27" i="4" l="1"/>
  <c r="I10" i="2"/>
  <c r="M10" i="2" l="1"/>
  <c r="L10" i="2"/>
</calcChain>
</file>

<file path=xl/sharedStrings.xml><?xml version="1.0" encoding="utf-8"?>
<sst xmlns="http://schemas.openxmlformats.org/spreadsheetml/2006/main" count="1817" uniqueCount="625">
  <si>
    <t>DIRECCIÓN GENERAL DE CONTRATACIONES PÚBLICAS</t>
  </si>
  <si>
    <t xml:space="preserve"> No.</t>
  </si>
  <si>
    <t>Empleado</t>
  </si>
  <si>
    <t>Departamento</t>
  </si>
  <si>
    <t>Cargo</t>
  </si>
  <si>
    <t>Sueldo Bruto
(RD$)</t>
  </si>
  <si>
    <t>ISR
(Ley 11-92)
(1*)</t>
  </si>
  <si>
    <t>Seguro 
de Pensión 
(2.87%)  
(2*)</t>
  </si>
  <si>
    <t>Seguro 
de Salud 
(3.04%)
 (3*)</t>
  </si>
  <si>
    <t>Otros
 Descuentos</t>
  </si>
  <si>
    <t>Total de 
Descuentos</t>
  </si>
  <si>
    <t>Sueldo
Neto
(RD$)</t>
  </si>
  <si>
    <t>Tipo de empleado</t>
  </si>
  <si>
    <t>sexo</t>
  </si>
  <si>
    <t>00000001</t>
  </si>
  <si>
    <t>JENNIFER ALEXANDRA POLANCO</t>
  </si>
  <si>
    <t>DIRECCION GENERAL DE CONTRATACIONES PUBLICAS</t>
  </si>
  <si>
    <t>COORDINADOR (A)</t>
  </si>
  <si>
    <t>TEMPORAL</t>
  </si>
  <si>
    <t>F</t>
  </si>
  <si>
    <t>00000002</t>
  </si>
  <si>
    <t>LISBETH MATOS RAMIREZ</t>
  </si>
  <si>
    <t>OFICIAL DE CUMPLIMIENTO</t>
  </si>
  <si>
    <t>00000003</t>
  </si>
  <si>
    <t>MARGARETH PAOLA BLANDINO MATEO</t>
  </si>
  <si>
    <t>00000004</t>
  </si>
  <si>
    <t>JOHANY JOSE SURIEL ROSARIO</t>
  </si>
  <si>
    <t>00000005</t>
  </si>
  <si>
    <t>ROSANNY ANTONIA SANTOS VERAS</t>
  </si>
  <si>
    <t>00000006</t>
  </si>
  <si>
    <t>ANTONIA NOLASCO BELTRAN</t>
  </si>
  <si>
    <t>00000007</t>
  </si>
  <si>
    <t>PABLO ANTONIO CRUZ DE LEON</t>
  </si>
  <si>
    <t>00000008</t>
  </si>
  <si>
    <t>FEDERICO FABIO RUIZ MATOS</t>
  </si>
  <si>
    <t>M</t>
  </si>
  <si>
    <t>00000009</t>
  </si>
  <si>
    <t>NICOLE MARIE LAZALA PUJOLS</t>
  </si>
  <si>
    <t>ANALISTA LEGAL</t>
  </si>
  <si>
    <t>00000010</t>
  </si>
  <si>
    <t>ALDO ENRICO JOSE GARCIA SANCHEZ</t>
  </si>
  <si>
    <t>00000011</t>
  </si>
  <si>
    <t>ERIKA SORANGEL RODRIGUEZ ALEXIS</t>
  </si>
  <si>
    <t>ANALISTA COOPERACION INTERNAC</t>
  </si>
  <si>
    <t>00000012</t>
  </si>
  <si>
    <t>MARIA TERESA MOREL DE LA ROSA</t>
  </si>
  <si>
    <t>DEPARTAMENTO COMUNICACIONES-DGCP</t>
  </si>
  <si>
    <t>ENCARGADO DEPARTAMENTO DE COM</t>
  </si>
  <si>
    <t>00000013</t>
  </si>
  <si>
    <t>ADMINISTRADOR (A)</t>
  </si>
  <si>
    <t>00000014</t>
  </si>
  <si>
    <t>PRICIS SMAILY DE LA CRUZ PEREZ</t>
  </si>
  <si>
    <t>00000015</t>
  </si>
  <si>
    <t>RAQUEL LEONOR MIRANDA SALAZAR</t>
  </si>
  <si>
    <t>DEPARTAMENTO JURIDICO-DGCP</t>
  </si>
  <si>
    <t>ENC. DEPTO. JURIDICO</t>
  </si>
  <si>
    <t>00000016</t>
  </si>
  <si>
    <t>ALFREDO JOSE BUENO HENRIQUEZ</t>
  </si>
  <si>
    <t>00000017</t>
  </si>
  <si>
    <t>PARALEGAL</t>
  </si>
  <si>
    <t>00000018</t>
  </si>
  <si>
    <t>DEPARTAMENTO TECNOLOGIAS DE LA INFORMACION Y COMUNICACION-DGCP</t>
  </si>
  <si>
    <t>00000019</t>
  </si>
  <si>
    <t>KENETH JOHN APONTE ALONZO</t>
  </si>
  <si>
    <t>ENCARGADO (A)</t>
  </si>
  <si>
    <t>00000020</t>
  </si>
  <si>
    <t>JUAN MELQUISEDEC FRIAS BATISTA</t>
  </si>
  <si>
    <t>ADMINISTRADOR BASE DE DATOS</t>
  </si>
  <si>
    <t>00000021</t>
  </si>
  <si>
    <t>JONAS RAFEL ESTEPAN BAEZ</t>
  </si>
  <si>
    <t>00000022</t>
  </si>
  <si>
    <t>JORGE LUIS GONZALEZ QUINTIN</t>
  </si>
  <si>
    <t>ADMINISTRADOR SERVIDORES</t>
  </si>
  <si>
    <t>00000023</t>
  </si>
  <si>
    <t>EDUARDO MELO CORDERO</t>
  </si>
  <si>
    <t>DESARROLLADOR WEB</t>
  </si>
  <si>
    <t>00000024</t>
  </si>
  <si>
    <t>ENMANUEL REYES DURAN</t>
  </si>
  <si>
    <t>DESARROLLADOR SOFTWARE</t>
  </si>
  <si>
    <t>00000025</t>
  </si>
  <si>
    <t>HARDY ELIAS HILARIO REYES</t>
  </si>
  <si>
    <t>00000026</t>
  </si>
  <si>
    <t>JULIO CESAR GUZMAN VALDEZ</t>
  </si>
  <si>
    <t>00000027</t>
  </si>
  <si>
    <t>GABRIEL SAMMUEL POZO TAVAREZ</t>
  </si>
  <si>
    <t>DESARROLLADOR DE SISTEMAS</t>
  </si>
  <si>
    <t>00000028</t>
  </si>
  <si>
    <t>CRUZ ANLLELINA FAMILIA ALCANTARA</t>
  </si>
  <si>
    <t>AUDITOR TECNOLOGIA</t>
  </si>
  <si>
    <t>00000029</t>
  </si>
  <si>
    <t>JOSE MIGUEL HERNANDEZ ASTACIO</t>
  </si>
  <si>
    <t>ANALISTA SEGURIDAD TECNOLOGIC</t>
  </si>
  <si>
    <t>00000030</t>
  </si>
  <si>
    <t>OSCAR ENRIQUE MEDINA ROMERO</t>
  </si>
  <si>
    <t>ANALISTA DE CALIDAD</t>
  </si>
  <si>
    <t>00000031</t>
  </si>
  <si>
    <t>TIRSO JULIO RAMIREZ PEREZ</t>
  </si>
  <si>
    <t>ANALISTA FUNCIONAL DE SISTEMA</t>
  </si>
  <si>
    <t>00000032</t>
  </si>
  <si>
    <t>EDWARD RADHAMES CEBALLOS CAMACHO</t>
  </si>
  <si>
    <t>WEB MASTER</t>
  </si>
  <si>
    <t>00000033</t>
  </si>
  <si>
    <t>00000034</t>
  </si>
  <si>
    <t>TOMAS EDUARDO QUEZADA DE JESUS</t>
  </si>
  <si>
    <t>SOPORTE TECNICO INFORMATICO</t>
  </si>
  <si>
    <t>00000035</t>
  </si>
  <si>
    <t>PRINCESA INMACULADA SANTANA FERNAND</t>
  </si>
  <si>
    <t>DEPARTAMENTO RECURSOS HUMANOS-DGCP</t>
  </si>
  <si>
    <t>ENCARGADO DE RECURSOS HUMANOS</t>
  </si>
  <si>
    <t>00000036</t>
  </si>
  <si>
    <t>MAIRA ALTAGRACIA MOTA SEPULVEDA</t>
  </si>
  <si>
    <t>ENCARGADO DE RECLUTAMIENTO, S</t>
  </si>
  <si>
    <t>00000037</t>
  </si>
  <si>
    <t>CINDY JASMIN MERETTE DE LA ROSA</t>
  </si>
  <si>
    <t>ANALISTA PLANIFICACION Y DESA</t>
  </si>
  <si>
    <t>00000038</t>
  </si>
  <si>
    <t>ANGELY LEONOR SUSANA RODRIGUEZ ALVA</t>
  </si>
  <si>
    <t>ANALISTA CAPACITACION</t>
  </si>
  <si>
    <t>00000039</t>
  </si>
  <si>
    <t>FLORANGEL PEREZ GONZALEZ</t>
  </si>
  <si>
    <t>ANALISTA DE RECURSOS HUMANOS</t>
  </si>
  <si>
    <t>00000040</t>
  </si>
  <si>
    <t>CESAR ANDRES CAAMAÑO DIAZ</t>
  </si>
  <si>
    <t>DEPARTAMENTO PLANIFICACION Y DESARROLLO-DGCP</t>
  </si>
  <si>
    <t>ENCARGADO (A)  DEP. DE PLANIF</t>
  </si>
  <si>
    <t>00000041</t>
  </si>
  <si>
    <t>GLORIA GIVANS GONZALEZ</t>
  </si>
  <si>
    <t>00000042</t>
  </si>
  <si>
    <t>SAULY ELISA MENDOZA POLANCO</t>
  </si>
  <si>
    <t>COORDINADOR (A)  DE PROYECTO</t>
  </si>
  <si>
    <t>00000043</t>
  </si>
  <si>
    <t>YAMIL EDUARDO MCKENZIE TOLENTINO</t>
  </si>
  <si>
    <t>00000044</t>
  </si>
  <si>
    <t>MARIA CRISTINA RIJO GIL</t>
  </si>
  <si>
    <t>00000045</t>
  </si>
  <si>
    <t>MOISES CAYETANO JIMENEZ</t>
  </si>
  <si>
    <t>00000046</t>
  </si>
  <si>
    <t>MARTHA LUCIA CONTRERAS MALDONADO</t>
  </si>
  <si>
    <t>DEPARTAMENTO ADMINISTRATIVO FINANCIERO-DGCP</t>
  </si>
  <si>
    <t>ENCARGADO (A) DEPTO. ADM. Y F</t>
  </si>
  <si>
    <t>00000047</t>
  </si>
  <si>
    <t>MARIELA ALSINA HERNANDEZ</t>
  </si>
  <si>
    <t>COORDINADOR ADMINISTRATIVO</t>
  </si>
  <si>
    <t>00000048</t>
  </si>
  <si>
    <t>MERLY LEONID MEJIA FAMILIA</t>
  </si>
  <si>
    <t>CONTADOR (A)</t>
  </si>
  <si>
    <t>00000049</t>
  </si>
  <si>
    <t>AURELIO MARACALLO CABRERA</t>
  </si>
  <si>
    <t>DIVISION SERVICIOS GENERALES-DGCP</t>
  </si>
  <si>
    <t>ENCARGADO DE SERVICIOS GENERA</t>
  </si>
  <si>
    <t>00000050</t>
  </si>
  <si>
    <t>LUIS ALBERTO GARCIA CAMACHO</t>
  </si>
  <si>
    <t>DIVISION DE COMPRAS Y CONTRATACIONES-DGCP</t>
  </si>
  <si>
    <t>ANALISTA DE COMPRAS Y CONTRAT</t>
  </si>
  <si>
    <t>00000051</t>
  </si>
  <si>
    <t>JULIO MANUEL DE LA ROSA MORFE</t>
  </si>
  <si>
    <t>TECNICO EN COMPRAS Y CONTRATA</t>
  </si>
  <si>
    <t>00000052</t>
  </si>
  <si>
    <t>SURELYS ENCARNACION PINEDA</t>
  </si>
  <si>
    <t>DEPARTAMENTO DE GESTION DE PROVEEDORES-DGCP</t>
  </si>
  <si>
    <t>ANALISTA REG. PROVEEDORES</t>
  </si>
  <si>
    <t>00000053</t>
  </si>
  <si>
    <t>MARIA VIRGINIA IRIZARRY QUIÑONES</t>
  </si>
  <si>
    <t>00000054</t>
  </si>
  <si>
    <t>BRENDA ELIANA NUÑEZ BAUTISTA</t>
  </si>
  <si>
    <t>ANALISTA</t>
  </si>
  <si>
    <t>00000055</t>
  </si>
  <si>
    <t>ODIL GALVAN LUCIANO</t>
  </si>
  <si>
    <t>00000056</t>
  </si>
  <si>
    <t>LUIS FERNANDO CUEVAS VILLALONA</t>
  </si>
  <si>
    <t>AUXILIAR DE GESTION DE PROVEE</t>
  </si>
  <si>
    <t>00000057</t>
  </si>
  <si>
    <t>EMILIA ALTAGRACIA RODRIGUEZ MUÑOZ</t>
  </si>
  <si>
    <t>00000058</t>
  </si>
  <si>
    <t>JHON EMANUEL MARTINEZ JORGE</t>
  </si>
  <si>
    <t>AUXILIAR REGISTRO PROVEEDORES</t>
  </si>
  <si>
    <t>00000059</t>
  </si>
  <si>
    <t>CLARA ALEXANDRA ROBLES HERRERA</t>
  </si>
  <si>
    <t>DIRECCION DE POLITICAS, NORMAS Y PROCEDIMIENTOS - DGCP</t>
  </si>
  <si>
    <t>00000060</t>
  </si>
  <si>
    <t>MANUEL ALEJANDRO FERNANDEZ HERNANDE</t>
  </si>
  <si>
    <t>ABOGADO (A) II</t>
  </si>
  <si>
    <t>00000061</t>
  </si>
  <si>
    <t>PAULINO PEREZ VIZCAINO</t>
  </si>
  <si>
    <t>00000062</t>
  </si>
  <si>
    <t>DINOSCA MARILUZ MEJIA ROSARIO</t>
  </si>
  <si>
    <t>00000063</t>
  </si>
  <si>
    <t>FREDDY JOSE CASTILLO BAEZ</t>
  </si>
  <si>
    <t>00000064</t>
  </si>
  <si>
    <t>DIANA LOUIS CESPEDES</t>
  </si>
  <si>
    <t>00000065</t>
  </si>
  <si>
    <t>JUAN JOSE CABRERA DIAZ</t>
  </si>
  <si>
    <t>00000066</t>
  </si>
  <si>
    <t>KEILA PRISCILA CALDERON PEREZ</t>
  </si>
  <si>
    <t>DIRECCION DE INVESTIGACION Y RECLAMOS DEL SNCCP-DGCP</t>
  </si>
  <si>
    <t>00000067</t>
  </si>
  <si>
    <t>MANUEL HERAXY MARMOLEJOS AMPARO</t>
  </si>
  <si>
    <t>00000068</t>
  </si>
  <si>
    <t>DIGMARI LEONOR RODOLI SANTOS</t>
  </si>
  <si>
    <t>ABOGADO (A)</t>
  </si>
  <si>
    <t>00000069</t>
  </si>
  <si>
    <t>RAFAEL AUGUSTO HEREDIA SANTOS</t>
  </si>
  <si>
    <t>ABOGADO (A) I</t>
  </si>
  <si>
    <t>00000070</t>
  </si>
  <si>
    <t>KAREN BARBEITO MEJIA</t>
  </si>
  <si>
    <t>00000071</t>
  </si>
  <si>
    <t>KATHERINE DRULLARD GOMEZ</t>
  </si>
  <si>
    <t>00000072</t>
  </si>
  <si>
    <t>LIA PAOLA HERMON RAMIREZ</t>
  </si>
  <si>
    <t>00000073</t>
  </si>
  <si>
    <t>JUNIOR ALEXANDER GALARZA CABRERA</t>
  </si>
  <si>
    <t>00000074</t>
  </si>
  <si>
    <t>FRANCISCO ALCIDES FERREIRA GARCIA</t>
  </si>
  <si>
    <t>00000075</t>
  </si>
  <si>
    <t>MARIA ALEJANDRA LEDESMA MENDEZ</t>
  </si>
  <si>
    <t>01/09/022</t>
  </si>
  <si>
    <t>00000076</t>
  </si>
  <si>
    <t>MASSIEL MONTAÑO RODRIGUEZ</t>
  </si>
  <si>
    <t>00000077</t>
  </si>
  <si>
    <t>YOSSE ESTHER PAYANO VARGAS</t>
  </si>
  <si>
    <t>00000078</t>
  </si>
  <si>
    <t>PAULA PEÑA CRUCEL</t>
  </si>
  <si>
    <t>00000079</t>
  </si>
  <si>
    <t>JEMIM MARIE GUILLEN UBIERA</t>
  </si>
  <si>
    <t>00000080</t>
  </si>
  <si>
    <t>FRANCO ALEJANDRO BENOIT SOTO</t>
  </si>
  <si>
    <t>DIRECCION DE GESTION DEL SISTEMA NACIONAL DE COMPRAS Y CONTRATACIONES PUBLICAS -DGCP</t>
  </si>
  <si>
    <t>ESPECIALISTA DE NEGOCIOS</t>
  </si>
  <si>
    <t>00000081</t>
  </si>
  <si>
    <t>DIGNA CRISTINA PEREZ BAUTISTA</t>
  </si>
  <si>
    <t>00000082</t>
  </si>
  <si>
    <t>LISMER ESTHER RAMIREZ CAPOIS</t>
  </si>
  <si>
    <t>DEPARTAMENTO IMPLEMENTACION DEL SNCCP-DGCP</t>
  </si>
  <si>
    <t>IMPLEMENTADOR/A</t>
  </si>
  <si>
    <t>00000083</t>
  </si>
  <si>
    <t>ANGELA ESTRELLA ALVAREZ RODRIGUEZ</t>
  </si>
  <si>
    <t>00000084</t>
  </si>
  <si>
    <t>CARLOS JULIO ROMERO NARANJO</t>
  </si>
  <si>
    <t>DEPARTAMENTO MONITOREO Y ANALISIS DE DATOS DEL SNCCP-DGCP</t>
  </si>
  <si>
    <t>00000085</t>
  </si>
  <si>
    <t>DANIEL ANDRES CABRERA LOPEZ</t>
  </si>
  <si>
    <t>ANALISTA DE DATOS</t>
  </si>
  <si>
    <t>00000086</t>
  </si>
  <si>
    <t>YAHAIRA MASSIEL DIAZ GREEN</t>
  </si>
  <si>
    <t>00000087</t>
  </si>
  <si>
    <t>JUAN PABLO SANCHEZ SURIEL</t>
  </si>
  <si>
    <t>00000088</t>
  </si>
  <si>
    <t>GILBERTO ELIAS MONTAS RODRIGUEZ</t>
  </si>
  <si>
    <t>00000089</t>
  </si>
  <si>
    <t>YOKASTY ELIZABETH DE LA CRUZ BALCAC</t>
  </si>
  <si>
    <t>00000090</t>
  </si>
  <si>
    <t>PERLA MARINA BAUTISTA SANCHEZ</t>
  </si>
  <si>
    <t>00000091</t>
  </si>
  <si>
    <t>MARCIA ODETTE RUIZ ECHAVARRIA</t>
  </si>
  <si>
    <t>00000092</t>
  </si>
  <si>
    <t>ROSAURA MARIS DE LA CRUZ DE LOS SAN</t>
  </si>
  <si>
    <t>00000093</t>
  </si>
  <si>
    <t>JOCABED MEHETABEL DE LA ROSA RESTIT</t>
  </si>
  <si>
    <t>00000094</t>
  </si>
  <si>
    <t>NATALIS ALTAGRACIA CANELA ESPIRITU</t>
  </si>
  <si>
    <t>00000095</t>
  </si>
  <si>
    <t>ALINA ALISSANOWA BRITO LEE</t>
  </si>
  <si>
    <t>00000096</t>
  </si>
  <si>
    <t>DIRECCION DE SERVICIOS AL USUARIO DEL SNCCP-DGCP</t>
  </si>
  <si>
    <t>00000097</t>
  </si>
  <si>
    <t>LARISSA DEL CARMEN SALCEDO MENDEZ</t>
  </si>
  <si>
    <t>COORDINADOR (A) DE CAPACITACI</t>
  </si>
  <si>
    <t>00000098</t>
  </si>
  <si>
    <t>ARLY YARITZA ALMANZAR ALCANTARA</t>
  </si>
  <si>
    <t>00000099</t>
  </si>
  <si>
    <t>ANA ELIZABETH VASQUEZ VARGAS</t>
  </si>
  <si>
    <t>OFICIAL SERVICIO AL USUARIO</t>
  </si>
  <si>
    <t>00000100</t>
  </si>
  <si>
    <t>JEAN CARLOS SANTANA SANCHEZ</t>
  </si>
  <si>
    <t>00000101</t>
  </si>
  <si>
    <t>FRANKLIN ANTONIO DE OLEO PEREZ</t>
  </si>
  <si>
    <t>00000102</t>
  </si>
  <si>
    <t>ANGEL DAVID NIVAR VALERA</t>
  </si>
  <si>
    <t>00000103</t>
  </si>
  <si>
    <t>DENIS ERNESTO VIDAL TEJEDA</t>
  </si>
  <si>
    <t>00000104</t>
  </si>
  <si>
    <t>PAOLA MICHELLE DIAZ OGANDO</t>
  </si>
  <si>
    <t>00000105</t>
  </si>
  <si>
    <t>JOSE ELIAS MOSCOSO</t>
  </si>
  <si>
    <t>OFICIAL DE ATENCION AL USUARI</t>
  </si>
  <si>
    <t>00000106</t>
  </si>
  <si>
    <t>GEORGE RAFAEL NUÑEZ JIMENEZ</t>
  </si>
  <si>
    <t>00000107</t>
  </si>
  <si>
    <t>ONEIRYS FRANCHESCA HERNANDEZ ROSARI</t>
  </si>
  <si>
    <t>00000108</t>
  </si>
  <si>
    <t>COSME ALEXANDER MARTINEZ CORDERO</t>
  </si>
  <si>
    <t>00000109</t>
  </si>
  <si>
    <t>LORELYS DEL CARMEN LAKE DE AZA</t>
  </si>
  <si>
    <t>00000110</t>
  </si>
  <si>
    <t>MAGDELINE GOMEZ REYNOSO</t>
  </si>
  <si>
    <t>00000111</t>
  </si>
  <si>
    <t>ANGELA MARIA GUZMAN MEJIA</t>
  </si>
  <si>
    <t>DEPARTAMENTO ASISTENCIA AL USUARIO-DGCP</t>
  </si>
  <si>
    <t>00000112</t>
  </si>
  <si>
    <t>KATHERINE PAMELA MERCEDES FERNANDEZ</t>
  </si>
  <si>
    <t>AUXILIAR DE SERVICIO AL USUAR</t>
  </si>
  <si>
    <t>00000113</t>
  </si>
  <si>
    <t>DIRECCION DE FOMENTO Y DESARROLLO DEL MERCADO PUBLICO-DGCP</t>
  </si>
  <si>
    <t>00000114</t>
  </si>
  <si>
    <t>DAHIANA CELINET GORIS GORIS</t>
  </si>
  <si>
    <t>00000115</t>
  </si>
  <si>
    <t>PABLO VICENTE BAUTISTA</t>
  </si>
  <si>
    <t>00000116</t>
  </si>
  <si>
    <t>RUBEN DARIO MAÑON DE LA CRUZ</t>
  </si>
  <si>
    <t>00000117</t>
  </si>
  <si>
    <t>FRANKEIRY EMILIO SANCHEZ PUJOLS</t>
  </si>
  <si>
    <t>00000118</t>
  </si>
  <si>
    <t>INDIRA RAMIREZ LEBRON</t>
  </si>
  <si>
    <t>CARRERA</t>
  </si>
  <si>
    <t>TOTAL GENERAL</t>
  </si>
  <si>
    <t>Observaciones:</t>
  </si>
  <si>
    <t xml:space="preserve">   (1*) Deducción directa en declaración ISR empleados del SUIRPLUS. Rentas hasta RD$416,220.00 estan exentas.</t>
  </si>
  <si>
    <t xml:space="preserve">   (2) Salario cotizable hasta RD$325,250.00, deducción directa de la declaración TSS del SUIRPLUS.</t>
  </si>
  <si>
    <t xml:space="preserve">   (3*) Salario cotizable hasta RD$162,625.00, deducción directa de la declaración TSS del SUIRPLUS.</t>
  </si>
  <si>
    <t xml:space="preserve">Licda. Princesa Santana </t>
  </si>
  <si>
    <t>Encargada del Dpto. de Recursos Humanos</t>
  </si>
  <si>
    <t>Fecha 
de
 Ingreso</t>
  </si>
  <si>
    <t>Seguro 
de Salud (3.04%)
 (3*)</t>
  </si>
  <si>
    <t>Otros 
Descuentos</t>
  </si>
  <si>
    <t>Total 
de 
Descuento</t>
  </si>
  <si>
    <t>Neto</t>
  </si>
  <si>
    <t>Tipo 
de Empleado</t>
  </si>
  <si>
    <t>CARLOS ERNESTO PIMENTEL FLORENZAN</t>
  </si>
  <si>
    <t>DIRECTOR GENERAL</t>
  </si>
  <si>
    <t>LIBRE NOMBRAMIENTO Y REMOCION</t>
  </si>
  <si>
    <t>CRYSTAL MARGARITA FIALLO SCANLON</t>
  </si>
  <si>
    <t>SUB DIRECTORA</t>
  </si>
  <si>
    <t>RUTH MARGARITA HENRIQUEZ MANZUETA D</t>
  </si>
  <si>
    <t>JOSE ROBERTO DE JESUS BEJARAN CRUZ</t>
  </si>
  <si>
    <t>ASESOR</t>
  </si>
  <si>
    <t>CONFIANZA</t>
  </si>
  <si>
    <t>VICTOR ELADIO MONTERO SOTO</t>
  </si>
  <si>
    <t>JOSE ARMANDO TAVAREZ RODRIGUEZ</t>
  </si>
  <si>
    <t>ASESOR TECNICO</t>
  </si>
  <si>
    <t>IVELISSE VALENTINA CEPEDA RODRIGUEZ</t>
  </si>
  <si>
    <t>ENCARGADA PROTOCOLO</t>
  </si>
  <si>
    <t>FIJO</t>
  </si>
  <si>
    <t>MABEL INFANTE VARGAS</t>
  </si>
  <si>
    <t>COORDINADOR DESPACHO</t>
  </si>
  <si>
    <t>SYLVANA MARTE DE LA CRUZ</t>
  </si>
  <si>
    <t>RESPONSABLE DE ACCESO A LA IN</t>
  </si>
  <si>
    <t>CARRERA ADMINISTRATIVA</t>
  </si>
  <si>
    <t>ANA MARIA GONZALEZ CASTILLO</t>
  </si>
  <si>
    <t>ARIANNA VIOLETA ROSADO QUEZADA</t>
  </si>
  <si>
    <t>KARLA FRANCHESCA SANCHEZ PEREZ</t>
  </si>
  <si>
    <t>SECRETARIA EJECUTIVA</t>
  </si>
  <si>
    <t>FRANCIA TERESA JAVIER ALCANTARA</t>
  </si>
  <si>
    <t>ROCIO MERCEDES CAMACHO DEL ROSARIO</t>
  </si>
  <si>
    <t>AUXILIAR</t>
  </si>
  <si>
    <t>JIREH DE JESUS ROSARIO  MEJIA</t>
  </si>
  <si>
    <t>SECRETARIA</t>
  </si>
  <si>
    <t>EDIMIG ALTAGRACIA BOBADILLA LUCIANO</t>
  </si>
  <si>
    <t>JOSE CASTILLO SANCHEZ</t>
  </si>
  <si>
    <t>CHOFER</t>
  </si>
  <si>
    <t>BETHANIA ANTONIA VALERIO CRUZ</t>
  </si>
  <si>
    <t>REDACTOR</t>
  </si>
  <si>
    <t>JUAN LUIS BAUTISTA BAUTISTA</t>
  </si>
  <si>
    <t>CAMAROGRAFO</t>
  </si>
  <si>
    <t>WANNER BIENVENIDO HERNANDEZ BELTRE</t>
  </si>
  <si>
    <t>MARCELO ARISTY PEÑA MOREL</t>
  </si>
  <si>
    <t>DISEÑADOR GRAFICO</t>
  </si>
  <si>
    <t>KARINA TAVERAS MATEO</t>
  </si>
  <si>
    <t>LUISA ARIELLA PEPEN MOQUETE</t>
  </si>
  <si>
    <t>EDDY MICHAEL ACEVEDO GARCIA</t>
  </si>
  <si>
    <t>EUDYS ANTONIO URIBE GUERRERO</t>
  </si>
  <si>
    <t>ANALISTA SISTEMAS INFORMATICO</t>
  </si>
  <si>
    <t>JUAN ANDRES ESCOLFULLER CASTILLO</t>
  </si>
  <si>
    <t>ANALISTA SISTEMAS</t>
  </si>
  <si>
    <t>RAFAEL LEONEL RAMIREZ TAVERAS</t>
  </si>
  <si>
    <t>ORLANDO LAJARA AQUINO</t>
  </si>
  <si>
    <t>MAXIMILIANO ARAUJO CAMINERO</t>
  </si>
  <si>
    <t>ARIALDI TOMAS DE LA CRUZ ALMANZAR</t>
  </si>
  <si>
    <t>ORLANDO ARTURO MATOS DE LA CRUZ</t>
  </si>
  <si>
    <t>KATHERINE JULISSA CALZADO CAPELLAN</t>
  </si>
  <si>
    <t>AUXILIAR ADMINISTRATIVO (A)</t>
  </si>
  <si>
    <t>NORDIS YRINA MORA ROSARIO</t>
  </si>
  <si>
    <t>ANALISTA NOMINAS</t>
  </si>
  <si>
    <t>YASMIN ACOSTA DE LEON</t>
  </si>
  <si>
    <t>JHOSUA PERALTA RODRIGUEZ</t>
  </si>
  <si>
    <t>KARINI DEL CARMEN VALDEZ DE LEON</t>
  </si>
  <si>
    <t>AUXILIAR DE RECURSOS HUMANOS</t>
  </si>
  <si>
    <t>MARIA DEL CARMEN RIVERO FERNANDEZ B</t>
  </si>
  <si>
    <t>ENC. DE PROYECTOS</t>
  </si>
  <si>
    <t>CATALINA NINIVE PELAEZ DE SPRHEGUI</t>
  </si>
  <si>
    <t>COORDINADOR DE COOPERACION IN</t>
  </si>
  <si>
    <t>WANDNERYS FUERTES BENCOSME</t>
  </si>
  <si>
    <t>ANALISTA DE GESTION DE CALIDA</t>
  </si>
  <si>
    <t>LUIS ALBERTO DIAZ DE LUNA</t>
  </si>
  <si>
    <t>ANALISTA DE PLANIFICACION</t>
  </si>
  <si>
    <t>EMILENNYS GARIMALDYS JIMENEZ JIMENE</t>
  </si>
  <si>
    <t>ZUNILDA PEREZ NUÑEZ</t>
  </si>
  <si>
    <t>ANALISTA PRESUPUESTO</t>
  </si>
  <si>
    <t>20/12/01996</t>
  </si>
  <si>
    <t>BELKYS YSABEL DE OLEO GERONIMO</t>
  </si>
  <si>
    <t>JULIO ANTONIO ALCANTARA GALVAN</t>
  </si>
  <si>
    <t>IVONNE KARINA SALADO MELO</t>
  </si>
  <si>
    <t>SIXTA LIZARDO DEL ORBE</t>
  </si>
  <si>
    <t>VIRGILIO GONZALEZ DE LA ROSA</t>
  </si>
  <si>
    <t>SUPERVISOR SERV.GLES.</t>
  </si>
  <si>
    <t>OMAR ERNESTO BAUTISTA ALCANTARA</t>
  </si>
  <si>
    <t>AUXILIAR SERVICIOS GENERALES</t>
  </si>
  <si>
    <t>DOMINGO MAIRENI SOLIS GOMEZ</t>
  </si>
  <si>
    <t>AYUDANTE DE MANTENIMIENTO</t>
  </si>
  <si>
    <t>FERNANDO FIGUEREO URBAEZ</t>
  </si>
  <si>
    <t>ANDRES NOLBERTO CUELLO LUNA</t>
  </si>
  <si>
    <t>ANEUDY CIRIACO</t>
  </si>
  <si>
    <t>AFORTUNADO CANARIO</t>
  </si>
  <si>
    <t>RAFAEL CRISPIAN RODRIGUEZ SOTO</t>
  </si>
  <si>
    <t>JOSE ENRIQUE ENCARNACION MONTERO</t>
  </si>
  <si>
    <t>CARMEN LIDIA BRYAN CARRION</t>
  </si>
  <si>
    <t>MAYORDOMO</t>
  </si>
  <si>
    <t>ANGELA YUDERCA MONTERO</t>
  </si>
  <si>
    <t>CONSERJE</t>
  </si>
  <si>
    <t>GLENYS DEL PILAR SANTANA LOPEZ</t>
  </si>
  <si>
    <t>RAFAEL MEDINA RAMON</t>
  </si>
  <si>
    <t>ANGUSTIA DE OLEO DE OLEO</t>
  </si>
  <si>
    <t>IVELISES DE LA CRUZ GENERES</t>
  </si>
  <si>
    <t>LUZ MERCEDES CEPEDES</t>
  </si>
  <si>
    <t>ELIANNA GERALDINE GIL RODRIGUEZ</t>
  </si>
  <si>
    <t>IVELISSE DE JESUS SANCHEZ</t>
  </si>
  <si>
    <t>JUAN CARLOS PEGUERO GOMEZ</t>
  </si>
  <si>
    <t>ANTONIA SOLEDAD PAULINO ACEVEDO</t>
  </si>
  <si>
    <t>MARIO ENRIQUE ROA CRUZ</t>
  </si>
  <si>
    <t>ALEXANDRA ALTAGRACIA RODRIGUEZ DELG</t>
  </si>
  <si>
    <t>DIEGO ENRIQUE DOMINGUEZ GUZMAN</t>
  </si>
  <si>
    <t>SECCION DE ALMACEN Y SUMINISTRO-DGCP</t>
  </si>
  <si>
    <t>JOHN ALLEN PICHARDO ROQUE</t>
  </si>
  <si>
    <t>DIVISON DE CORRESPONDENCIA Y ARCHIVO-DGCP</t>
  </si>
  <si>
    <t>ENC. DE ARCHIVO Y CORRESP.</t>
  </si>
  <si>
    <t>ROSA EURIS RAMIREZ FELIZ DE CUELLO</t>
  </si>
  <si>
    <t>JAVIER VASQUEZ</t>
  </si>
  <si>
    <t>TECNICO EN ARCHIVO Y CORRESPO</t>
  </si>
  <si>
    <t>JEAN CARLOS DE JESUS CASTILLO</t>
  </si>
  <si>
    <t>EVELYN SUERO SUERO</t>
  </si>
  <si>
    <t>ALBERTO NUÑEZ BAUTISTA</t>
  </si>
  <si>
    <t>MENSAJERO EXTERNO</t>
  </si>
  <si>
    <t>JULIO ANTONIO FELIZ MORETA</t>
  </si>
  <si>
    <t>LUIS ENRIQUE ZAPATA SILFA</t>
  </si>
  <si>
    <t>JINMY ALEXANDER RODRIGUEZ TEJADA</t>
  </si>
  <si>
    <t>FRANLLY JOEL GARCIA NUÑEZ</t>
  </si>
  <si>
    <t>ANA VIRGINIA LEONARDO PEREZ</t>
  </si>
  <si>
    <t>ANALISTA COMPRAS</t>
  </si>
  <si>
    <t>RAMON FRANCISCO SANTANA</t>
  </si>
  <si>
    <t>TECNICO DE COMPRAS</t>
  </si>
  <si>
    <t>ERASMO AQUINO CAMPUSANO</t>
  </si>
  <si>
    <t>LIDER CONTROL CALIDAD SOFTWAR</t>
  </si>
  <si>
    <t>OMAR ABEL MEDRANO BLANCO</t>
  </si>
  <si>
    <t>JOHANNA ELIZABETH ALVAREZ GARCIA</t>
  </si>
  <si>
    <t>NICAURY ARIAS NAUT</t>
  </si>
  <si>
    <t>MERCEDES ALTAGRACIA EUSEBIO MARTINE</t>
  </si>
  <si>
    <t>DIR. POLITICAS, NORMAS Y PROC</t>
  </si>
  <si>
    <t>CLAUDIA ISABEL HIDALGO SANTANA</t>
  </si>
  <si>
    <t>KATHERINE JOHANNA GUTIERREZ FIGUERE</t>
  </si>
  <si>
    <t>LUIS RAMON NUÑEZ MARTINEZ</t>
  </si>
  <si>
    <t>SECRETARIO (A)</t>
  </si>
  <si>
    <t>LARITZA MONTERO MATEO</t>
  </si>
  <si>
    <t>LUISA MARIA LANTIGUA CLASE</t>
  </si>
  <si>
    <t>DANIEL IVAN ALBURQUERQUE CEDEÑO</t>
  </si>
  <si>
    <t>MARCEL MARILYN REYES TAVERAS</t>
  </si>
  <si>
    <t>ESTHER MELISSA REYES OLIVO</t>
  </si>
  <si>
    <t>ASISTENTE EJECUTIVA</t>
  </si>
  <si>
    <t>CAROLIN MIRIANNY MORETA PEÑA</t>
  </si>
  <si>
    <t>MICHAEL JAVIER MOTA</t>
  </si>
  <si>
    <t>DIVISION DE DESARROLLO E IMPLEMENTACION DE SISTEMAS-DGCP</t>
  </si>
  <si>
    <t>FREDERIC DE LA ROSA ASTACIO</t>
  </si>
  <si>
    <t>DIVISION DE OPERACIONES TIC-DGCP</t>
  </si>
  <si>
    <t>ADMINISTRADOR DE REDES</t>
  </si>
  <si>
    <t>REINER AUGUSTO CAMPILLO TERRERO</t>
  </si>
  <si>
    <t>ADMINISTRADORDE INFRAESTRUCTU</t>
  </si>
  <si>
    <t>RICHARD FEDERICO MENDOZA VALENZUELA</t>
  </si>
  <si>
    <t>PEDRO ARIAS GALVA</t>
  </si>
  <si>
    <t>YARAIDA VOLQUEZ HELENA</t>
  </si>
  <si>
    <t>ENC. DPTO. IMPLEMENTACION SNC</t>
  </si>
  <si>
    <t>YUMIKO MERCEDES SETO SETO</t>
  </si>
  <si>
    <t>MILDRED JOSEFINA BATISTA OLIVERO</t>
  </si>
  <si>
    <t>FACILITADOR</t>
  </si>
  <si>
    <t>ZOILO CAMILO CARABALLO POLANCO</t>
  </si>
  <si>
    <t>CELIA INDHIRA SANTOS REYES</t>
  </si>
  <si>
    <t>YESENIA MANZUETA PEREZ</t>
  </si>
  <si>
    <t>URSULA RODRIGUEZ ZAPATA</t>
  </si>
  <si>
    <t>VIOLA MILAGROS DISLA PAYANO</t>
  </si>
  <si>
    <t>FARYLANLLY CID PIÑEYRO</t>
  </si>
  <si>
    <t xml:space="preserve"> 01 /06/ 018</t>
  </si>
  <si>
    <t>YOLAINE ALTAGRACIA DIAZ RUIZ</t>
  </si>
  <si>
    <t>LAURABEL PERALTA ENCARNACION</t>
  </si>
  <si>
    <t>YANIBEL MORENO GUZMAN</t>
  </si>
  <si>
    <t>EDUARDO ERNESTO LAUCER</t>
  </si>
  <si>
    <t>ELENNY NAIROBY LARA RIVERA</t>
  </si>
  <si>
    <t>JOANNA PIERINA CARAM IBARRA</t>
  </si>
  <si>
    <t>ENC. INFORMACION Y ESTADISTIC</t>
  </si>
  <si>
    <t>RAYSA YASMINA GUZMAN DIAZ</t>
  </si>
  <si>
    <t>RUTH ESTHER ESCAÑO GRULLON</t>
  </si>
  <si>
    <t>WILCADY DUME BAEZ</t>
  </si>
  <si>
    <t>DIR. SERVICIOS A USUARIOS SNC</t>
  </si>
  <si>
    <t>EMELYN ALTAGRACIA OROZCO DIAZ</t>
  </si>
  <si>
    <t>ANGEL EUCLIDES PIMENTEL VILLAVERDE</t>
  </si>
  <si>
    <t>MARIETI MICHELE LOPEZ HERNANDEZ</t>
  </si>
  <si>
    <t>KEVIN ROMÁN RUÍZ</t>
  </si>
  <si>
    <t>MARIA DEL CARMEN BRITO DE LEON</t>
  </si>
  <si>
    <t>ERICKSON JAVIER GRULLON VELEZ</t>
  </si>
  <si>
    <t>JULISSA MARÍA TAVERAS GARCIA</t>
  </si>
  <si>
    <t>RECEPCIONISTA</t>
  </si>
  <si>
    <t>GINO MAURIZIO ARMANDI ELBA</t>
  </si>
  <si>
    <t>ENC. DPTO. GESTION DE PROVEED</t>
  </si>
  <si>
    <t>LUCIA VALDEZ PEREZ</t>
  </si>
  <si>
    <t>NIDIA KATERINA UBIERA REYES</t>
  </si>
  <si>
    <t>LUIS MANUEL GUERRERO MESA</t>
  </si>
  <si>
    <t>KATHERINE HERRERA BONIFACIO</t>
  </si>
  <si>
    <t>ANA MERY POLANCO DE PAULA</t>
  </si>
  <si>
    <t>REMY GIRALDO TAVERAS</t>
  </si>
  <si>
    <t>FRANDI MIGUEL ANTIGUA DEL CARMEN</t>
  </si>
  <si>
    <t>HEIDY FERNANDA VILLAMIL FERMIN</t>
  </si>
  <si>
    <t>ENCARGADA (O) OFICINA REGIONA</t>
  </si>
  <si>
    <t>THANYA DEL ROSARIO GOMEZ SANTOS</t>
  </si>
  <si>
    <t>COORDINADOR REGIONAL</t>
  </si>
  <si>
    <t>MARIA YOLANDA RAMIREZ JIMENEZ</t>
  </si>
  <si>
    <t>MISCAYLA NOEMI SANTANA CASTRO</t>
  </si>
  <si>
    <t>EDUARDA FORTUNATO FLORES</t>
  </si>
  <si>
    <t>ALEJANDRO AMPARO DE LOS SANTOS</t>
  </si>
  <si>
    <t>JUAN MANUEL BAUTISTA ALMONTE</t>
  </si>
  <si>
    <t>JUAN ELVIN TEOFILO FIGUEROA GUZMAN</t>
  </si>
  <si>
    <t>DIR. FOMENTO Y DESARROLLO MER</t>
  </si>
  <si>
    <t>ERNESTINA CALDERON DE PERALTA</t>
  </si>
  <si>
    <t>YSIS CAROLINA POCHE BRITO</t>
  </si>
  <si>
    <t>No.</t>
  </si>
  <si>
    <t>00000119</t>
  </si>
  <si>
    <t>00000120</t>
  </si>
  <si>
    <t>00000121</t>
  </si>
  <si>
    <t>00000122</t>
  </si>
  <si>
    <t>00000123</t>
  </si>
  <si>
    <t>00000124</t>
  </si>
  <si>
    <t>00000125</t>
  </si>
  <si>
    <t>00000126</t>
  </si>
  <si>
    <t>00000127</t>
  </si>
  <si>
    <t>00000128</t>
  </si>
  <si>
    <t>00000129</t>
  </si>
  <si>
    <t>00000130</t>
  </si>
  <si>
    <t>00000131</t>
  </si>
  <si>
    <t>00000132</t>
  </si>
  <si>
    <t>00000133</t>
  </si>
  <si>
    <t>00000134</t>
  </si>
  <si>
    <t>00000135</t>
  </si>
  <si>
    <t>00000136</t>
  </si>
  <si>
    <t>00000137</t>
  </si>
  <si>
    <t>00000138</t>
  </si>
  <si>
    <t>00000139</t>
  </si>
  <si>
    <t>00000140</t>
  </si>
  <si>
    <t>00000141</t>
  </si>
  <si>
    <t>00000142</t>
  </si>
  <si>
    <t>00000143</t>
  </si>
  <si>
    <t>00000144</t>
  </si>
  <si>
    <t>Seguro 
de Pensión 
(2.87%) 
 (2*)</t>
  </si>
  <si>
    <t>ALEIDA GEOMAR BATISTA VENTURA</t>
  </si>
  <si>
    <t>ENC. DPTO. ASIST. TECNICA</t>
  </si>
  <si>
    <t>ESTATUTO SIMPLIFICADO</t>
  </si>
  <si>
    <t>Tipo de 
empleado</t>
  </si>
  <si>
    <t>MILITAR 01</t>
  </si>
  <si>
    <t>MILITAR 02</t>
  </si>
  <si>
    <t>MILITAR 03</t>
  </si>
  <si>
    <t>MILITAR 04</t>
  </si>
  <si>
    <t>MILITAR 05</t>
  </si>
  <si>
    <t>MILITAR 06</t>
  </si>
  <si>
    <t>MILITAR 07</t>
  </si>
  <si>
    <t>MILITAR 08</t>
  </si>
  <si>
    <t>MILITAR 09</t>
  </si>
  <si>
    <t>MILITAR 10</t>
  </si>
  <si>
    <t>MILITAR 11</t>
  </si>
  <si>
    <t>MILITAR 12</t>
  </si>
  <si>
    <t>MILITAR 13</t>
  </si>
  <si>
    <t>MILITAR 14</t>
  </si>
  <si>
    <t>MILITAR 15</t>
  </si>
  <si>
    <t>MILITAR 16</t>
  </si>
  <si>
    <t>MILITAR 17</t>
  </si>
  <si>
    <t>MILITAR 18</t>
  </si>
  <si>
    <t>DEPARTAMENTO ADMINISTRATIVO Y FINANCIERO</t>
  </si>
  <si>
    <t>ENCARGADA DE SEGURIDAD</t>
  </si>
  <si>
    <t>SEGURIDAD MILITAR</t>
  </si>
  <si>
    <t>ASIST. MILITAR</t>
  </si>
  <si>
    <t>ASESOR MILITAR</t>
  </si>
  <si>
    <t>EDECAM</t>
  </si>
  <si>
    <t>Rango</t>
  </si>
  <si>
    <t>TENIENTE CORONEL, ERD</t>
  </si>
  <si>
    <t>SARGENTO, ARD.</t>
  </si>
  <si>
    <t>SARGENTO, FARD.</t>
  </si>
  <si>
    <t>TENIENTE DE CORBETA, ARD</t>
  </si>
  <si>
    <t>SARGENTO, ERD.</t>
  </si>
  <si>
    <t>SARGENTO MAYOR, ERD</t>
  </si>
  <si>
    <t xml:space="preserve">CORONEL, FARD </t>
  </si>
  <si>
    <t>CABO, ERD.</t>
  </si>
  <si>
    <t>SARGENTO ERD.</t>
  </si>
  <si>
    <t>RASO, FARD.</t>
  </si>
  <si>
    <t>PRIMER TENIENTE, FARD</t>
  </si>
  <si>
    <t>SARGENTO MAYOR, FARD</t>
  </si>
  <si>
    <t>ALEXANDRA MARIEL CORONADO PEGUERO</t>
  </si>
  <si>
    <t>JATNNA STEPHANIE JAQUEZ MORFE</t>
  </si>
  <si>
    <t>ELVIN ANDRES REYES PIMENTEL</t>
  </si>
  <si>
    <t>JORGE MIGUEL ZACARIAS SALDAÑA</t>
  </si>
  <si>
    <t>GARY JOEL PIMENTEL ROSARIO</t>
  </si>
  <si>
    <t>JUAN LUIS MONTERO ENCARNACION</t>
  </si>
  <si>
    <t>NICOLE CAROLINA LÓPEZ PERDOMO</t>
  </si>
  <si>
    <t>LEONOR BRITO TAVAREZ</t>
  </si>
  <si>
    <t>ANALISTA FUNCIONAL DE SISTEMAS</t>
  </si>
  <si>
    <t>CORNELIO MARTINEZ GONZALEZ</t>
  </si>
  <si>
    <t>Fecha de 
inicio peiodo de prueba</t>
  </si>
  <si>
    <t xml:space="preserve">Fecha de 
Termino de periodo de prueba </t>
  </si>
  <si>
    <t>Fecha de 
inicio Ingreso</t>
  </si>
  <si>
    <t>Fecha de 
inicio Temporalidad</t>
  </si>
  <si>
    <t xml:space="preserve">Fecha de finalización Temporalidad 
</t>
  </si>
  <si>
    <t>COMPENSACIÓN DE MILITARES AGOSTO 2022</t>
  </si>
  <si>
    <t>PAGO SUELDOS EMPLEADOS EN TRAMITE DE PENSION AGOSTO 2022</t>
  </si>
  <si>
    <t>PAGO SUELDOS EMPLEADOS EN PERIODO PROBATORIO AGOSTO 2022</t>
  </si>
  <si>
    <t>PAGO SUELDOS EMPLEADOS TEMPORALES AGOSTO 2022</t>
  </si>
  <si>
    <t>NO HUBO MOVIMIENTOS</t>
  </si>
  <si>
    <t>KIHARA MABEL VALDEZ HERRERA</t>
  </si>
  <si>
    <t>NOEMI JOSE NOVA</t>
  </si>
  <si>
    <t>DIR. INVESTIGACION Y RECLAMOS</t>
  </si>
  <si>
    <t>AUXILIAR DE RELACIONES PUBLICAS</t>
  </si>
  <si>
    <t>YANINA DE LA ROSA RAMIREZ</t>
  </si>
  <si>
    <t>ANA GABRIELA PEREZ LUCIANO</t>
  </si>
  <si>
    <t>PAGO SUELDOS PERSONAL FIJO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</si>
</sst>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4"/>
      <name val="Century Gothic"/>
      <family val="2"/>
    </font>
    <font>
      <sz val="16"/>
      <color theme="1"/>
      <name val="Calibri"/>
      <family val="2"/>
    </font>
    <font>
      <sz val="16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5"/>
      <name val="Arial"/>
      <family val="2"/>
    </font>
    <font>
      <sz val="13"/>
      <name val="Arial"/>
      <family val="2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b/>
      <sz val="18"/>
      <name val="Arial"/>
      <family val="2"/>
    </font>
    <font>
      <sz val="20"/>
      <name val="Arial"/>
      <family val="2"/>
    </font>
    <font>
      <sz val="18"/>
      <name val="Arial"/>
      <family val="2"/>
    </font>
    <font>
      <sz val="14"/>
      <name val="Calibri"/>
      <family val="2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 "/>
    </font>
    <font>
      <sz val="16"/>
      <name val="Calibri "/>
    </font>
    <font>
      <sz val="16"/>
      <color theme="1"/>
      <name val="Calibri "/>
    </font>
    <font>
      <b/>
      <sz val="16"/>
      <name val="Calibri "/>
    </font>
    <font>
      <sz val="14"/>
      <color theme="1"/>
      <name val="Calibri "/>
    </font>
    <font>
      <b/>
      <sz val="14"/>
      <name val="Calibri "/>
    </font>
    <font>
      <sz val="14"/>
      <name val="Century Gothic"/>
      <family val="2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2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name val="Arial"/>
      <family val="2"/>
    </font>
    <font>
      <sz val="22"/>
      <color theme="1"/>
      <name val="Calibri"/>
      <family val="2"/>
      <scheme val="minor"/>
    </font>
    <font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42">
    <xf numFmtId="0" fontId="0" fillId="0" borderId="0" xfId="0"/>
    <xf numFmtId="0" fontId="4" fillId="0" borderId="3" xfId="0" applyFont="1" applyBorder="1"/>
    <xf numFmtId="0" fontId="7" fillId="3" borderId="10" xfId="0" applyNumberFormat="1" applyFont="1" applyFill="1" applyBorder="1" applyAlignment="1" applyProtection="1">
      <alignment horizontal="left" vertical="center"/>
    </xf>
    <xf numFmtId="0" fontId="5" fillId="3" borderId="10" xfId="0" applyFont="1" applyFill="1" applyBorder="1"/>
    <xf numFmtId="0" fontId="9" fillId="3" borderId="10" xfId="0" applyFont="1" applyFill="1" applyBorder="1" applyAlignment="1">
      <alignment horizontal="left" vertical="center"/>
    </xf>
    <xf numFmtId="43" fontId="8" fillId="3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3" fillId="0" borderId="0" xfId="2" applyFont="1" applyFill="1" applyAlignment="1">
      <alignment vertical="center"/>
    </xf>
    <xf numFmtId="0" fontId="13" fillId="0" borderId="0" xfId="2" applyFont="1" applyAlignment="1">
      <alignment vertical="center"/>
    </xf>
    <xf numFmtId="4" fontId="14" fillId="0" borderId="14" xfId="2" applyNumberFormat="1" applyFont="1" applyFill="1" applyBorder="1" applyAlignment="1">
      <alignment horizontal="left" vertical="center"/>
    </xf>
    <xf numFmtId="0" fontId="15" fillId="0" borderId="14" xfId="0" applyFont="1" applyBorder="1"/>
    <xf numFmtId="0" fontId="16" fillId="0" borderId="0" xfId="2" applyFont="1" applyFill="1" applyBorder="1" applyAlignment="1">
      <alignment vertical="center"/>
    </xf>
    <xf numFmtId="0" fontId="17" fillId="0" borderId="0" xfId="2" applyFont="1" applyFill="1" applyAlignment="1">
      <alignment vertical="center"/>
    </xf>
    <xf numFmtId="0" fontId="15" fillId="0" borderId="0" xfId="0" applyFont="1"/>
    <xf numFmtId="0" fontId="18" fillId="0" borderId="0" xfId="2" applyFont="1" applyFill="1" applyAlignment="1">
      <alignment vertical="center"/>
    </xf>
    <xf numFmtId="0" fontId="7" fillId="3" borderId="5" xfId="0" applyNumberFormat="1" applyFont="1" applyFill="1" applyBorder="1" applyAlignment="1" applyProtection="1">
      <alignment horizontal="left" vertical="center"/>
    </xf>
    <xf numFmtId="0" fontId="5" fillId="3" borderId="5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164" fontId="19" fillId="0" borderId="5" xfId="0" applyNumberFormat="1" applyFont="1" applyFill="1" applyBorder="1" applyAlignment="1">
      <alignment horizontal="center"/>
    </xf>
    <xf numFmtId="0" fontId="4" fillId="0" borderId="16" xfId="0" applyFont="1" applyBorder="1"/>
    <xf numFmtId="14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2" applyFont="1" applyAlignment="1">
      <alignment vertical="center"/>
    </xf>
    <xf numFmtId="164" fontId="19" fillId="0" borderId="4" xfId="0" applyNumberFormat="1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/>
    </xf>
    <xf numFmtId="0" fontId="4" fillId="0" borderId="4" xfId="0" applyFont="1" applyBorder="1"/>
    <xf numFmtId="4" fontId="4" fillId="0" borderId="4" xfId="0" applyNumberFormat="1" applyFont="1" applyBorder="1"/>
    <xf numFmtId="4" fontId="4" fillId="0" borderId="5" xfId="0" applyNumberFormat="1" applyFont="1" applyBorder="1"/>
    <xf numFmtId="0" fontId="4" fillId="0" borderId="5" xfId="0" applyFont="1" applyBorder="1"/>
    <xf numFmtId="4" fontId="4" fillId="0" borderId="7" xfId="0" applyNumberFormat="1" applyFont="1" applyBorder="1"/>
    <xf numFmtId="4" fontId="20" fillId="0" borderId="5" xfId="0" applyNumberFormat="1" applyFont="1" applyBorder="1" applyAlignment="1">
      <alignment horizontal="left" wrapText="1"/>
    </xf>
    <xf numFmtId="4" fontId="20" fillId="0" borderId="7" xfId="0" applyNumberFormat="1" applyFont="1" applyBorder="1"/>
    <xf numFmtId="0" fontId="4" fillId="0" borderId="7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164" fontId="20" fillId="0" borderId="5" xfId="0" applyNumberFormat="1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20" fillId="0" borderId="5" xfId="0" applyNumberFormat="1" applyFont="1" applyFill="1" applyBorder="1" applyAlignment="1">
      <alignment horizontal="left" vertical="center"/>
    </xf>
    <xf numFmtId="164" fontId="20" fillId="0" borderId="4" xfId="0" applyNumberFormat="1" applyFont="1" applyFill="1" applyBorder="1" applyAlignment="1">
      <alignment horizontal="left" vertical="center"/>
    </xf>
    <xf numFmtId="49" fontId="22" fillId="0" borderId="4" xfId="2" applyNumberFormat="1" applyFont="1" applyFill="1" applyBorder="1" applyAlignment="1">
      <alignment horizontal="left" vertical="center"/>
    </xf>
    <xf numFmtId="49" fontId="23" fillId="0" borderId="4" xfId="2" applyNumberFormat="1" applyFont="1" applyFill="1" applyBorder="1" applyAlignment="1">
      <alignment horizontal="left" vertical="center"/>
    </xf>
    <xf numFmtId="0" fontId="24" fillId="0" borderId="15" xfId="0" applyFont="1" applyBorder="1"/>
    <xf numFmtId="0" fontId="24" fillId="0" borderId="5" xfId="0" applyFont="1" applyBorder="1"/>
    <xf numFmtId="43" fontId="24" fillId="0" borderId="4" xfId="1" applyFont="1" applyFill="1" applyBorder="1" applyAlignment="1">
      <alignment horizontal="center"/>
    </xf>
    <xf numFmtId="43" fontId="24" fillId="0" borderId="4" xfId="1" applyFont="1" applyBorder="1"/>
    <xf numFmtId="49" fontId="24" fillId="0" borderId="4" xfId="0" applyNumberFormat="1" applyFont="1" applyFill="1" applyBorder="1" applyAlignment="1">
      <alignment horizontal="left" vertical="center"/>
    </xf>
    <xf numFmtId="4" fontId="24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0" fillId="3" borderId="10" xfId="0" applyNumberFormat="1" applyFont="1" applyFill="1" applyBorder="1" applyAlignment="1" applyProtection="1">
      <alignment horizontal="left" vertical="center"/>
    </xf>
    <xf numFmtId="0" fontId="20" fillId="3" borderId="5" xfId="0" applyNumberFormat="1" applyFont="1" applyFill="1" applyBorder="1" applyAlignment="1" applyProtection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43" fontId="5" fillId="3" borderId="10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left" vertical="center"/>
    </xf>
    <xf numFmtId="164" fontId="24" fillId="0" borderId="4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6" fillId="0" borderId="15" xfId="0" applyFont="1" applyBorder="1"/>
    <xf numFmtId="0" fontId="26" fillId="0" borderId="5" xfId="0" applyFont="1" applyBorder="1"/>
    <xf numFmtId="164" fontId="26" fillId="0" borderId="4" xfId="0" applyNumberFormat="1" applyFont="1" applyFill="1" applyBorder="1" applyAlignment="1">
      <alignment horizontal="center" vertical="center"/>
    </xf>
    <xf numFmtId="43" fontId="26" fillId="0" borderId="4" xfId="1" applyFont="1" applyFill="1" applyBorder="1" applyAlignment="1">
      <alignment horizontal="center"/>
    </xf>
    <xf numFmtId="43" fontId="26" fillId="0" borderId="4" xfId="1" applyFont="1" applyBorder="1"/>
    <xf numFmtId="49" fontId="26" fillId="0" borderId="4" xfId="0" applyNumberFormat="1" applyFont="1" applyFill="1" applyBorder="1" applyAlignment="1">
      <alignment horizontal="left" vertical="center"/>
    </xf>
    <xf numFmtId="4" fontId="26" fillId="0" borderId="4" xfId="0" applyNumberFormat="1" applyFont="1" applyBorder="1" applyAlignment="1">
      <alignment horizontal="center"/>
    </xf>
    <xf numFmtId="0" fontId="28" fillId="3" borderId="5" xfId="0" applyNumberFormat="1" applyFont="1" applyFill="1" applyBorder="1" applyAlignment="1" applyProtection="1">
      <alignment horizontal="left" vertical="center"/>
    </xf>
    <xf numFmtId="0" fontId="29" fillId="3" borderId="5" xfId="0" applyFont="1" applyFill="1" applyBorder="1"/>
    <xf numFmtId="0" fontId="29" fillId="3" borderId="10" xfId="0" applyFont="1" applyFill="1" applyBorder="1"/>
    <xf numFmtId="43" fontId="30" fillId="3" borderId="10" xfId="0" applyNumberFormat="1" applyFont="1" applyFill="1" applyBorder="1" applyAlignment="1">
      <alignment horizontal="center"/>
    </xf>
    <xf numFmtId="0" fontId="29" fillId="3" borderId="10" xfId="0" applyFont="1" applyFill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43" fontId="22" fillId="0" borderId="5" xfId="1" applyFont="1" applyBorder="1" applyAlignment="1">
      <alignment horizontal="center" vertical="center" wrapText="1"/>
    </xf>
    <xf numFmtId="43" fontId="26" fillId="0" borderId="5" xfId="1" applyFont="1" applyFill="1" applyBorder="1" applyAlignment="1">
      <alignment horizontal="center"/>
    </xf>
    <xf numFmtId="0" fontId="26" fillId="0" borderId="5" xfId="0" applyFont="1" applyBorder="1" applyAlignment="1">
      <alignment horizontal="center"/>
    </xf>
    <xf numFmtId="43" fontId="27" fillId="0" borderId="5" xfId="1" applyFont="1" applyFill="1" applyBorder="1" applyAlignment="1">
      <alignment horizontal="center" vertical="center" wrapText="1"/>
    </xf>
    <xf numFmtId="43" fontId="22" fillId="0" borderId="5" xfId="1" applyFont="1" applyFill="1" applyBorder="1" applyAlignment="1">
      <alignment horizontal="center" vertical="center" wrapText="1"/>
    </xf>
    <xf numFmtId="4" fontId="14" fillId="0" borderId="0" xfId="2" applyNumberFormat="1" applyFont="1" applyFill="1" applyBorder="1" applyAlignment="1">
      <alignment horizontal="left" vertical="center"/>
    </xf>
    <xf numFmtId="164" fontId="32" fillId="0" borderId="5" xfId="0" applyNumberFormat="1" applyFont="1" applyFill="1" applyBorder="1" applyAlignment="1">
      <alignment horizontal="left" vertical="center"/>
    </xf>
    <xf numFmtId="43" fontId="4" fillId="0" borderId="5" xfId="1" applyFont="1" applyBorder="1"/>
    <xf numFmtId="0" fontId="4" fillId="0" borderId="5" xfId="0" applyFont="1" applyFill="1" applyBorder="1"/>
    <xf numFmtId="4" fontId="4" fillId="0" borderId="5" xfId="0" applyNumberFormat="1" applyFont="1" applyFill="1" applyBorder="1"/>
    <xf numFmtId="0" fontId="4" fillId="0" borderId="4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0" xfId="0" applyFill="1"/>
    <xf numFmtId="164" fontId="32" fillId="0" borderId="5" xfId="0" applyNumberFormat="1" applyFont="1" applyFill="1" applyBorder="1" applyAlignment="1">
      <alignment horizontal="left"/>
    </xf>
    <xf numFmtId="0" fontId="31" fillId="0" borderId="5" xfId="0" applyFont="1" applyFill="1" applyBorder="1"/>
    <xf numFmtId="4" fontId="31" fillId="0" borderId="5" xfId="0" applyNumberFormat="1" applyFont="1" applyFill="1" applyBorder="1"/>
    <xf numFmtId="0" fontId="31" fillId="0" borderId="5" xfId="0" applyFont="1" applyFill="1" applyBorder="1" applyAlignment="1">
      <alignment horizontal="center"/>
    </xf>
    <xf numFmtId="0" fontId="31" fillId="0" borderId="7" xfId="0" applyFont="1" applyFill="1" applyBorder="1" applyAlignment="1">
      <alignment horizontal="center"/>
    </xf>
    <xf numFmtId="0" fontId="4" fillId="0" borderId="0" xfId="0" applyFont="1"/>
    <xf numFmtId="4" fontId="4" fillId="0" borderId="7" xfId="0" applyNumberFormat="1" applyFont="1" applyFill="1" applyBorder="1"/>
    <xf numFmtId="0" fontId="13" fillId="0" borderId="18" xfId="2" applyFont="1" applyBorder="1" applyAlignment="1">
      <alignment vertical="center"/>
    </xf>
    <xf numFmtId="0" fontId="0" fillId="0" borderId="18" xfId="0" applyBorder="1"/>
    <xf numFmtId="0" fontId="33" fillId="0" borderId="0" xfId="0" applyFont="1" applyBorder="1" applyAlignment="1">
      <alignment horizontal="center"/>
    </xf>
    <xf numFmtId="0" fontId="34" fillId="0" borderId="0" xfId="2" applyFont="1" applyAlignment="1">
      <alignment vertical="center"/>
    </xf>
    <xf numFmtId="0" fontId="35" fillId="0" borderId="0" xfId="2" applyFont="1" applyAlignment="1">
      <alignment vertical="center"/>
    </xf>
    <xf numFmtId="0" fontId="35" fillId="0" borderId="0" xfId="2" applyFont="1" applyFill="1" applyAlignment="1">
      <alignment vertical="center"/>
    </xf>
    <xf numFmtId="4" fontId="0" fillId="0" borderId="0" xfId="0" applyNumberFormat="1"/>
    <xf numFmtId="4" fontId="4" fillId="0" borderId="0" xfId="0" applyNumberFormat="1" applyFont="1" applyFill="1"/>
    <xf numFmtId="0" fontId="36" fillId="4" borderId="8" xfId="0" applyFont="1" applyFill="1" applyBorder="1"/>
    <xf numFmtId="0" fontId="36" fillId="4" borderId="9" xfId="0" applyFont="1" applyFill="1" applyBorder="1" applyAlignment="1">
      <alignment horizontal="center"/>
    </xf>
    <xf numFmtId="0" fontId="36" fillId="4" borderId="9" xfId="0" applyFont="1" applyFill="1" applyBorder="1"/>
    <xf numFmtId="4" fontId="36" fillId="4" borderId="9" xfId="0" applyNumberFormat="1" applyFont="1" applyFill="1" applyBorder="1"/>
    <xf numFmtId="4" fontId="37" fillId="4" borderId="9" xfId="0" applyNumberFormat="1" applyFont="1" applyFill="1" applyBorder="1"/>
    <xf numFmtId="0" fontId="36" fillId="4" borderId="11" xfId="0" applyFont="1" applyFill="1" applyBorder="1"/>
    <xf numFmtId="0" fontId="4" fillId="0" borderId="3" xfId="0" applyFont="1" applyFill="1" applyBorder="1"/>
    <xf numFmtId="0" fontId="0" fillId="0" borderId="0" xfId="0" applyFill="1" applyBorder="1"/>
    <xf numFmtId="0" fontId="28" fillId="0" borderId="0" xfId="0" applyNumberFormat="1" applyFont="1" applyFill="1" applyBorder="1" applyAlignment="1" applyProtection="1">
      <alignment horizontal="left" vertical="center"/>
    </xf>
    <xf numFmtId="4" fontId="0" fillId="0" borderId="0" xfId="0" applyNumberFormat="1" applyFill="1" applyBorder="1"/>
    <xf numFmtId="0" fontId="38" fillId="0" borderId="0" xfId="0" applyFont="1"/>
    <xf numFmtId="4" fontId="39" fillId="0" borderId="14" xfId="2" applyNumberFormat="1" applyFont="1" applyFill="1" applyBorder="1" applyAlignment="1">
      <alignment horizontal="left" vertical="center"/>
    </xf>
    <xf numFmtId="0" fontId="40" fillId="0" borderId="14" xfId="0" applyFont="1" applyBorder="1"/>
    <xf numFmtId="0" fontId="41" fillId="0" borderId="0" xfId="2" applyFont="1" applyFill="1" applyAlignment="1">
      <alignment vertical="center"/>
    </xf>
    <xf numFmtId="0" fontId="40" fillId="0" borderId="0" xfId="0" applyFont="1"/>
    <xf numFmtId="4" fontId="38" fillId="3" borderId="9" xfId="0" applyNumberFormat="1" applyFont="1" applyFill="1" applyBorder="1"/>
    <xf numFmtId="0" fontId="38" fillId="3" borderId="9" xfId="0" applyFont="1" applyFill="1" applyBorder="1"/>
    <xf numFmtId="0" fontId="38" fillId="3" borderId="11" xfId="0" applyFont="1" applyFill="1" applyBorder="1"/>
    <xf numFmtId="0" fontId="13" fillId="0" borderId="0" xfId="2" applyFont="1" applyBorder="1" applyAlignment="1">
      <alignment vertical="center"/>
    </xf>
    <xf numFmtId="0" fontId="0" fillId="0" borderId="0" xfId="0" applyBorder="1"/>
    <xf numFmtId="0" fontId="3" fillId="0" borderId="0" xfId="2" applyFont="1" applyAlignment="1">
      <alignment horizontal="center" vertical="center"/>
    </xf>
    <xf numFmtId="0" fontId="33" fillId="0" borderId="0" xfId="0" applyFont="1" applyBorder="1" applyAlignment="1">
      <alignment horizontal="center"/>
    </xf>
  </cellXfs>
  <cellStyles count="4">
    <cellStyle name="Millares" xfId="1" builtinId="3"/>
    <cellStyle name="Normal" xfId="0" builtinId="0"/>
    <cellStyle name="Normal 3" xfId="2"/>
    <cellStyle name="Normal 4 2" xfId="3"/>
  </cellStyles>
  <dxfs count="1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 tint="-0.34998626667073579"/>
        </patternFill>
      </fill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fill>
        <patternFill patternType="solid">
          <fgColor rgb="FF000000"/>
          <bgColor rgb="FFA6A6A6"/>
        </patternFill>
      </fill>
    </dxf>
    <dxf>
      <border outline="0">
        <top style="medium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Calibri "/>
        <scheme val="none"/>
      </font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solid">
          <fgColor indexed="64"/>
          <bgColor theme="0" tint="-0.34998626667073579"/>
        </patternFill>
      </fill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entury Gothic"/>
        <scheme val="none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34998626667073579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ill>
        <patternFill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4" formatCode="#,##0.00"/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8"/>
        <name val="Calibri"/>
      </font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414201</xdr:colOff>
      <xdr:row>0</xdr:row>
      <xdr:rowOff>149678</xdr:rowOff>
    </xdr:from>
    <xdr:to>
      <xdr:col>1</xdr:col>
      <xdr:colOff>2462893</xdr:colOff>
      <xdr:row>3</xdr:row>
      <xdr:rowOff>340179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271451" y="149678"/>
          <a:ext cx="2048692" cy="13335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1563380</xdr:colOff>
      <xdr:row>0</xdr:row>
      <xdr:rowOff>0</xdr:rowOff>
    </xdr:from>
    <xdr:to>
      <xdr:col>13</xdr:col>
      <xdr:colOff>6187</xdr:colOff>
      <xdr:row>3</xdr:row>
      <xdr:rowOff>275579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3511701" y="0"/>
          <a:ext cx="1675122" cy="14185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985701</xdr:colOff>
      <xdr:row>0</xdr:row>
      <xdr:rowOff>54428</xdr:rowOff>
    </xdr:from>
    <xdr:to>
      <xdr:col>1</xdr:col>
      <xdr:colOff>3108416</xdr:colOff>
      <xdr:row>5</xdr:row>
      <xdr:rowOff>86631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1966776" y="54428"/>
          <a:ext cx="2122715" cy="132760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760557</xdr:colOff>
      <xdr:row>0</xdr:row>
      <xdr:rowOff>0</xdr:rowOff>
    </xdr:from>
    <xdr:to>
      <xdr:col>14</xdr:col>
      <xdr:colOff>771261</xdr:colOff>
      <xdr:row>6</xdr:row>
      <xdr:rowOff>419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31783482" y="0"/>
          <a:ext cx="2172879" cy="1486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214176</xdr:colOff>
      <xdr:row>1</xdr:row>
      <xdr:rowOff>0</xdr:rowOff>
    </xdr:from>
    <xdr:to>
      <xdr:col>1</xdr:col>
      <xdr:colOff>496660</xdr:colOff>
      <xdr:row>6</xdr:row>
      <xdr:rowOff>172356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14176" y="0"/>
          <a:ext cx="1357449" cy="14677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160483</xdr:colOff>
      <xdr:row>1</xdr:row>
      <xdr:rowOff>0</xdr:rowOff>
    </xdr:from>
    <xdr:to>
      <xdr:col>13</xdr:col>
      <xdr:colOff>1412421</xdr:colOff>
      <xdr:row>6</xdr:row>
      <xdr:rowOff>95757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10066483" y="0"/>
          <a:ext cx="1249217" cy="13911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214175</xdr:colOff>
      <xdr:row>0</xdr:row>
      <xdr:rowOff>1</xdr:rowOff>
    </xdr:from>
    <xdr:to>
      <xdr:col>1</xdr:col>
      <xdr:colOff>1381124</xdr:colOff>
      <xdr:row>6</xdr:row>
      <xdr:rowOff>95251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14175" y="1"/>
          <a:ext cx="2090874" cy="1581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158751</xdr:colOff>
      <xdr:row>0</xdr:row>
      <xdr:rowOff>0</xdr:rowOff>
    </xdr:from>
    <xdr:to>
      <xdr:col>12</xdr:col>
      <xdr:colOff>1016001</xdr:colOff>
      <xdr:row>6</xdr:row>
      <xdr:rowOff>101671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6342976" y="0"/>
          <a:ext cx="857250" cy="1587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2087699</xdr:colOff>
      <xdr:row>6</xdr:row>
      <xdr:rowOff>95251</xdr:rowOff>
    </xdr:to>
    <xdr:pic>
      <xdr:nvPicPr>
        <xdr:cNvPr id="2" name="Imagen 1" descr="C:\Users\caquino\Documents\PyD DGCP\Despacho\Cambio de Imagen\RGB-0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4" t="33333" r="29896" b="34375"/>
        <a:stretch/>
      </xdr:blipFill>
      <xdr:spPr bwMode="auto">
        <a:xfrm>
          <a:off x="214175" y="1"/>
          <a:ext cx="2087699" cy="1587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95250</xdr:colOff>
      <xdr:row>6</xdr:row>
      <xdr:rowOff>101671</xdr:rowOff>
    </xdr:to>
    <xdr:pic>
      <xdr:nvPicPr>
        <xdr:cNvPr id="3" name="Picture 1024" descr="http://4.bp.blogspot.com/-VgjrKV3Ph48/TsJK08tW8MI/AAAAAAAAFTo/WQPFCzb6N7w/s1600/haciendadominicana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DEEF2"/>
            </a:clrFrom>
            <a:clrTo>
              <a:srgbClr val="EDEEF2">
                <a:alpha val="0"/>
              </a:srgbClr>
            </a:clrTo>
          </a:clrChange>
        </a:blip>
        <a:srcRect l="9091" t="8265" r="10489" b="7438"/>
        <a:stretch/>
      </xdr:blipFill>
      <xdr:spPr bwMode="auto">
        <a:xfrm>
          <a:off x="24288751" y="0"/>
          <a:ext cx="857250" cy="15939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3" name="Tabla4" displayName="Tabla4" ref="A7:N152" totalsRowCount="1" headerRowDxfId="144" dataDxfId="142" totalsRowDxfId="140" headerRowBorderDxfId="143" tableBorderDxfId="141" totalsRowBorderDxfId="139">
  <autoFilter ref="A7:N151"/>
  <tableColumns count="14">
    <tableColumn id="16" name="No." totalsRowDxfId="138"/>
    <tableColumn id="1" name="Empleado" totalsRowLabel="TOTAL GENERAL" totalsRowDxfId="137"/>
    <tableColumn id="2" name="Departamento" totalsRowDxfId="136"/>
    <tableColumn id="3" name="Cargo" totalsRowDxfId="135"/>
    <tableColumn id="4" name="Fecha _x000a_de_x000a_ Ingreso" totalsRowDxfId="134"/>
    <tableColumn id="5" name="Sueldo Bruto_x000a_(RD$)" totalsRowFunction="sum" totalsRowDxfId="133"/>
    <tableColumn id="9" name="ISR_x000a_(Ley 11-92)_x000a_(1*)" totalsRowFunction="sum" totalsRowDxfId="132"/>
    <tableColumn id="8" name="Seguro _x000a_de Pensión _x000a_(2.87%) _x000a_ (2*)" totalsRowFunction="sum" totalsRowDxfId="131"/>
    <tableColumn id="10" name="Seguro _x000a_de Salud (3.04%)_x000a_ (3*)" totalsRowFunction="sum" totalsRowDxfId="130"/>
    <tableColumn id="11" name="Otros _x000a_Descuentos" totalsRowFunction="sum" totalsRowDxfId="129"/>
    <tableColumn id="12" name="Total _x000a_de _x000a_Descuento" totalsRowFunction="sum" totalsRowDxfId="128"/>
    <tableColumn id="13" name="Neto" totalsRowFunction="sum" totalsRowDxfId="127"/>
    <tableColumn id="14" name="Tipo _x000a_de Empleado" totalsRowDxfId="126"/>
    <tableColumn id="15" name="sexo" totalsRowFunction="count" totalsRowDxfId="125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1" name="Tabla1" displayName="Tabla1" ref="A7:O132" totalsRowCount="1" headerRowDxfId="124" dataDxfId="122" totalsRowDxfId="120" headerRowBorderDxfId="123" tableBorderDxfId="121" totalsRowBorderDxfId="119">
  <autoFilter ref="A7:O131"/>
  <tableColumns count="15">
    <tableColumn id="1" name=" No." dataDxfId="118" totalsRowDxfId="117"/>
    <tableColumn id="2" name="Empleado" totalsRowLabel="TOTAL GENERAL" dataDxfId="116" totalsRowDxfId="115"/>
    <tableColumn id="3" name="Departamento" dataDxfId="114" totalsRowDxfId="113"/>
    <tableColumn id="4" name="Cargo" dataDxfId="112" totalsRowDxfId="111"/>
    <tableColumn id="5" name="Fecha de _x000a_inicio Temporalidad" dataDxfId="110" totalsRowDxfId="109"/>
    <tableColumn id="15" name="Fecha de finalización Temporalidad _x000a_" dataDxfId="108" totalsRowDxfId="107"/>
    <tableColumn id="6" name="Sueldo Bruto_x000a_(RD$)" totalsRowFunction="sum" dataDxfId="106" totalsRowDxfId="105"/>
    <tableColumn id="8" name="ISR_x000a_(Ley 11-92)_x000a_(1*)" totalsRowFunction="sum" dataDxfId="104" totalsRowDxfId="103"/>
    <tableColumn id="7" name="Seguro _x000a_de Pensión _x000a_(2.87%)  _x000a_(2*)" totalsRowFunction="sum" dataDxfId="102" totalsRowDxfId="101"/>
    <tableColumn id="9" name="Seguro _x000a_de Salud _x000a_(3.04%)_x000a_ (3*)" totalsRowFunction="sum" dataDxfId="100" totalsRowDxfId="99"/>
    <tableColumn id="10" name="Otros_x000a_ Descuentos" totalsRowFunction="sum" dataDxfId="98" totalsRowDxfId="97"/>
    <tableColumn id="11" name="Total de _x000a_Descuentos" totalsRowFunction="sum" dataDxfId="96" totalsRowDxfId="95"/>
    <tableColumn id="12" name="Sueldo_x000a_Neto_x000a_(RD$)" totalsRowFunction="sum" dataDxfId="94" totalsRowDxfId="93"/>
    <tableColumn id="13" name="Tipo de empleado" dataDxfId="92" totalsRowDxfId="91"/>
    <tableColumn id="14" name="sexo" totalsRowFunction="count" dataDxfId="90" totalsRowDxfId="89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2" name="Tabla2" displayName="Tabla2" ref="A8:O10" totalsRowCount="1" headerRowDxfId="88" dataDxfId="86" totalsRowDxfId="84" headerRowBorderDxfId="87" tableBorderDxfId="85">
  <autoFilter ref="A8:O9"/>
  <tableColumns count="15">
    <tableColumn id="1" name=" No." dataDxfId="83" totalsRowDxfId="82" dataCellStyle="Normal 3"/>
    <tableColumn id="2" name="Empleado" totalsRowLabel="TOTAL GENERAL" dataDxfId="81" totalsRowDxfId="80"/>
    <tableColumn id="3" name="Departamento" dataDxfId="79" totalsRowDxfId="78"/>
    <tableColumn id="4" name="Cargo" dataDxfId="77" totalsRowDxfId="76"/>
    <tableColumn id="5" name="Fecha de _x000a_inicio peiodo de prueba" dataDxfId="75" totalsRowDxfId="74"/>
    <tableColumn id="6" name="Fecha de _x000a_Termino de periodo de prueba " dataDxfId="73" totalsRowDxfId="72"/>
    <tableColumn id="7" name="Sueldo Bruto_x000a_(RD$)" totalsRowFunction="sum" dataDxfId="71" totalsRowDxfId="70" dataCellStyle="Millares"/>
    <tableColumn id="8" name="ISR_x000a_(Ley 11-92)_x000a_(1*)" totalsRowFunction="sum" dataDxfId="69" totalsRowDxfId="68" dataCellStyle="Millares"/>
    <tableColumn id="9" name="Seguro _x000a_de Pensión _x000a_(2.87%)  _x000a_(2*)" totalsRowFunction="sum" dataDxfId="67" totalsRowDxfId="66" dataCellStyle="Millares"/>
    <tableColumn id="10" name="Seguro _x000a_de Salud _x000a_(3.04%)_x000a_ (3*)" totalsRowFunction="sum" dataDxfId="65" totalsRowDxfId="64" dataCellStyle="Millares"/>
    <tableColumn id="11" name="Otros_x000a_ Descuentos" totalsRowFunction="sum" dataDxfId="63" totalsRowDxfId="62" dataCellStyle="Millares"/>
    <tableColumn id="12" name="Total de _x000a_Descuentos" totalsRowFunction="sum" dataDxfId="61" totalsRowDxfId="60" dataCellStyle="Millares"/>
    <tableColumn id="13" name="Sueldo_x000a_Neto_x000a_(RD$)" totalsRowFunction="sum" dataDxfId="59" totalsRowDxfId="58" dataCellStyle="Millares"/>
    <tableColumn id="14" name="Tipo de empleado" dataDxfId="57" totalsRowDxfId="56"/>
    <tableColumn id="15" name="sexo" dataDxfId="55" totalsRowDxfId="5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5" name="Tabla256" displayName="Tabla256" ref="A8:N10" totalsRowCount="1" headerRowDxfId="53" dataDxfId="51" totalsRowDxfId="49" headerRowBorderDxfId="52" tableBorderDxfId="50">
  <autoFilter ref="A8:N9"/>
  <tableColumns count="14">
    <tableColumn id="1" name=" No." dataDxfId="48" totalsRowDxfId="47" dataCellStyle="Normal 3"/>
    <tableColumn id="2" name="Empleado" totalsRowLabel="TOTAL GENERAL" dataDxfId="46" totalsRowDxfId="45"/>
    <tableColumn id="3" name="Departamento" dataDxfId="44" totalsRowDxfId="43"/>
    <tableColumn id="4" name="Cargo" dataDxfId="42" totalsRowDxfId="41"/>
    <tableColumn id="5" name="Fecha de _x000a_inicio Ingreso" dataDxfId="40" totalsRowDxfId="39"/>
    <tableColumn id="7" name="Sueldo Bruto_x000a_(RD$)" totalsRowFunction="sum" dataDxfId="38" totalsRowDxfId="37" dataCellStyle="Millares"/>
    <tableColumn id="8" name="ISR_x000a_(Ley 11-92)_x000a_(1*)" totalsRowFunction="sum" dataDxfId="36" totalsRowDxfId="35" dataCellStyle="Millares"/>
    <tableColumn id="9" name="Seguro _x000a_de Pensión _x000a_(2.87%)  _x000a_(2*)" totalsRowFunction="sum" dataDxfId="34" totalsRowDxfId="33" dataCellStyle="Millares">
      <calculatedColumnFormula>+F9*0.0287</calculatedColumnFormula>
    </tableColumn>
    <tableColumn id="10" name="Seguro _x000a_de Salud _x000a_(3.04%)_x000a_ (3*)" totalsRowFunction="sum" dataDxfId="32" totalsRowDxfId="31" dataCellStyle="Millares">
      <calculatedColumnFormula>+F9*0.0304</calculatedColumnFormula>
    </tableColumn>
    <tableColumn id="11" name="Otros_x000a_ Descuentos" totalsRowFunction="sum" dataDxfId="30" totalsRowDxfId="29" dataCellStyle="Millares"/>
    <tableColumn id="12" name="Total de _x000a_Descuentos" totalsRowFunction="sum" dataDxfId="28" totalsRowDxfId="27" dataCellStyle="Millares">
      <calculatedColumnFormula>SUM(G9:J9)</calculatedColumnFormula>
    </tableColumn>
    <tableColumn id="13" name="Sueldo_x000a_Neto_x000a_(RD$)" totalsRowFunction="sum" dataDxfId="26" totalsRowDxfId="25" dataCellStyle="Millares">
      <calculatedColumnFormula>+F9-K9</calculatedColumnFormula>
    </tableColumn>
    <tableColumn id="14" name="Tipo de _x000a_empleado" dataDxfId="24" totalsRowDxfId="23"/>
    <tableColumn id="15" name="sexo" dataDxfId="22" totalsRowDxfId="21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4" name="Tabla25" displayName="Tabla25" ref="A8:H27" totalsRowCount="1" headerRowDxfId="20" dataDxfId="18" totalsRowDxfId="16" headerRowBorderDxfId="19" tableBorderDxfId="17">
  <autoFilter ref="A8:H26"/>
  <tableColumns count="8">
    <tableColumn id="2" name="Empleado" totalsRowLabel="TOTAL GENERAL" dataDxfId="15" totalsRowDxfId="14"/>
    <tableColumn id="1" name="Rango" dataDxfId="13" totalsRowDxfId="12"/>
    <tableColumn id="3" name="Departamento" dataDxfId="11" totalsRowDxfId="10"/>
    <tableColumn id="4" name="Cargo" dataDxfId="9" totalsRowDxfId="8"/>
    <tableColumn id="7" name="Sueldo Bruto_x000a_(RD$)" totalsRowFunction="sum" dataDxfId="7" totalsRowDxfId="6" dataCellStyle="Millares"/>
    <tableColumn id="8" name="ISR_x000a_(Ley 11-92)_x000a_(1*)" totalsRowFunction="sum" dataDxfId="5" totalsRowDxfId="4" dataCellStyle="Millares"/>
    <tableColumn id="13" name="Sueldo_x000a_Neto_x000a_(RD$)" totalsRowFunction="sum" dataDxfId="3" totalsRowDxfId="2" dataCellStyle="Millares">
      <calculatedColumnFormula>+Tabla25[[#This Row],[Sueldo Bruto
(RD$)]]-Tabla25[[#This Row],[ISR
(Ley 11-92)
(1*)]]</calculatedColumnFormula>
    </tableColumn>
    <tableColumn id="15" name="sexo" dataDxfId="1" totalsRow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2"/>
  <sheetViews>
    <sheetView tabSelected="1" zoomScale="55" zoomScaleNormal="55" workbookViewId="0">
      <selection activeCell="C145" sqref="C145"/>
    </sheetView>
  </sheetViews>
  <sheetFormatPr baseColWidth="10" defaultRowHeight="30" customHeight="1"/>
  <cols>
    <col min="1" max="1" width="19.85546875" customWidth="1"/>
    <col min="2" max="2" width="60.42578125" customWidth="1"/>
    <col min="3" max="3" width="131" customWidth="1"/>
    <col min="4" max="4" width="50" customWidth="1"/>
    <col min="5" max="5" width="18.7109375" customWidth="1"/>
    <col min="6" max="6" width="21.85546875" customWidth="1"/>
    <col min="7" max="7" width="21" bestFit="1" customWidth="1"/>
    <col min="8" max="8" width="22.7109375" bestFit="1" customWidth="1"/>
    <col min="9" max="9" width="18.5703125" bestFit="1" customWidth="1"/>
    <col min="10" max="10" width="21.7109375" customWidth="1"/>
    <col min="11" max="12" width="21.140625" bestFit="1" customWidth="1"/>
    <col min="13" max="13" width="48.42578125" bestFit="1" customWidth="1"/>
    <col min="14" max="14" width="11.7109375" bestFit="1" customWidth="1"/>
  </cols>
  <sheetData>
    <row r="1" spans="1:15" ht="30" customHeight="1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29"/>
    </row>
    <row r="2" spans="1:15" ht="30" customHeight="1">
      <c r="A2" s="140" t="s">
        <v>624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29"/>
    </row>
    <row r="6" spans="1:15" ht="30" customHeight="1" thickBot="1"/>
    <row r="7" spans="1:15" ht="61.5" customHeight="1" thickBot="1">
      <c r="A7" s="40" t="s">
        <v>529</v>
      </c>
      <c r="B7" s="40" t="s">
        <v>2</v>
      </c>
      <c r="C7" s="40" t="s">
        <v>3</v>
      </c>
      <c r="D7" s="40" t="s">
        <v>4</v>
      </c>
      <c r="E7" s="41" t="s">
        <v>321</v>
      </c>
      <c r="F7" s="41" t="s">
        <v>5</v>
      </c>
      <c r="G7" s="41" t="s">
        <v>6</v>
      </c>
      <c r="H7" s="41" t="s">
        <v>556</v>
      </c>
      <c r="I7" s="42" t="s">
        <v>322</v>
      </c>
      <c r="J7" s="43" t="s">
        <v>323</v>
      </c>
      <c r="K7" s="43" t="s">
        <v>324</v>
      </c>
      <c r="L7" s="44" t="s">
        <v>325</v>
      </c>
      <c r="M7" s="43" t="s">
        <v>326</v>
      </c>
      <c r="N7" s="45" t="s">
        <v>13</v>
      </c>
    </row>
    <row r="8" spans="1:15" ht="30" customHeight="1">
      <c r="A8" s="1" t="s">
        <v>14</v>
      </c>
      <c r="B8" s="32" t="s">
        <v>327</v>
      </c>
      <c r="C8" s="32" t="s">
        <v>16</v>
      </c>
      <c r="D8" s="32" t="s">
        <v>328</v>
      </c>
      <c r="E8" s="30">
        <v>44059</v>
      </c>
      <c r="F8" s="33">
        <v>285000</v>
      </c>
      <c r="G8" s="33">
        <v>56552.04</v>
      </c>
      <c r="H8" s="33">
        <v>8179.5</v>
      </c>
      <c r="I8" s="34">
        <v>4943.8</v>
      </c>
      <c r="J8" s="35">
        <v>25</v>
      </c>
      <c r="K8" s="34">
        <v>69700.34</v>
      </c>
      <c r="L8" s="34">
        <v>215299.66</v>
      </c>
      <c r="M8" s="34" t="s">
        <v>329</v>
      </c>
      <c r="N8" s="36" t="s">
        <v>35</v>
      </c>
    </row>
    <row r="9" spans="1:15" ht="30" customHeight="1">
      <c r="A9" s="26" t="s">
        <v>20</v>
      </c>
      <c r="B9" s="35" t="s">
        <v>330</v>
      </c>
      <c r="C9" s="35" t="s">
        <v>16</v>
      </c>
      <c r="D9" s="35" t="s">
        <v>331</v>
      </c>
      <c r="E9" s="25">
        <v>44060</v>
      </c>
      <c r="F9" s="34">
        <v>245000</v>
      </c>
      <c r="G9" s="34">
        <v>46839.040000000001</v>
      </c>
      <c r="H9" s="34">
        <v>7031.5</v>
      </c>
      <c r="I9" s="34">
        <v>4943.8</v>
      </c>
      <c r="J9" s="35">
        <v>25</v>
      </c>
      <c r="K9" s="34">
        <v>58839.34</v>
      </c>
      <c r="L9" s="34">
        <v>186160.66</v>
      </c>
      <c r="M9" s="34" t="s">
        <v>329</v>
      </c>
      <c r="N9" s="36" t="s">
        <v>19</v>
      </c>
    </row>
    <row r="10" spans="1:15" ht="30" customHeight="1">
      <c r="A10" s="26" t="s">
        <v>23</v>
      </c>
      <c r="B10" s="35" t="s">
        <v>332</v>
      </c>
      <c r="C10" s="35" t="s">
        <v>16</v>
      </c>
      <c r="D10" s="35" t="s">
        <v>331</v>
      </c>
      <c r="E10" s="25">
        <v>44060</v>
      </c>
      <c r="F10" s="34">
        <v>245000</v>
      </c>
      <c r="G10" s="34">
        <v>46501.51</v>
      </c>
      <c r="H10" s="34">
        <v>7031.5</v>
      </c>
      <c r="I10" s="34">
        <v>4943.8</v>
      </c>
      <c r="J10" s="34">
        <v>1375.12</v>
      </c>
      <c r="K10" s="34">
        <v>59851.93</v>
      </c>
      <c r="L10" s="34">
        <v>185148.07</v>
      </c>
      <c r="M10" s="34" t="s">
        <v>329</v>
      </c>
      <c r="N10" s="36" t="s">
        <v>19</v>
      </c>
    </row>
    <row r="11" spans="1:15" ht="30" customHeight="1">
      <c r="A11" s="1" t="s">
        <v>25</v>
      </c>
      <c r="B11" s="35" t="s">
        <v>333</v>
      </c>
      <c r="C11" s="35" t="s">
        <v>16</v>
      </c>
      <c r="D11" s="35" t="s">
        <v>334</v>
      </c>
      <c r="E11" s="25">
        <v>44206</v>
      </c>
      <c r="F11" s="34">
        <v>150000</v>
      </c>
      <c r="G11" s="35">
        <v>0</v>
      </c>
      <c r="H11" s="34">
        <v>4305</v>
      </c>
      <c r="I11" s="34">
        <v>4560</v>
      </c>
      <c r="J11" s="35">
        <v>25</v>
      </c>
      <c r="K11" s="34">
        <v>8890</v>
      </c>
      <c r="L11" s="34">
        <v>141110</v>
      </c>
      <c r="M11" s="34" t="s">
        <v>335</v>
      </c>
      <c r="N11" s="36" t="s">
        <v>35</v>
      </c>
    </row>
    <row r="12" spans="1:15" ht="30" customHeight="1">
      <c r="A12" s="26" t="s">
        <v>27</v>
      </c>
      <c r="B12" s="35" t="s">
        <v>336</v>
      </c>
      <c r="C12" s="35" t="s">
        <v>16</v>
      </c>
      <c r="D12" s="35" t="s">
        <v>334</v>
      </c>
      <c r="E12" s="25">
        <v>44685</v>
      </c>
      <c r="F12" s="34">
        <v>130000</v>
      </c>
      <c r="G12" s="34">
        <v>19162.12</v>
      </c>
      <c r="H12" s="34">
        <v>3731</v>
      </c>
      <c r="I12" s="34">
        <v>3952</v>
      </c>
      <c r="J12" s="35">
        <v>25</v>
      </c>
      <c r="K12" s="34">
        <v>26870.12</v>
      </c>
      <c r="L12" s="34">
        <v>103129.88</v>
      </c>
      <c r="M12" s="34" t="s">
        <v>335</v>
      </c>
      <c r="N12" s="36" t="s">
        <v>35</v>
      </c>
    </row>
    <row r="13" spans="1:15" ht="30" customHeight="1">
      <c r="A13" s="26" t="s">
        <v>29</v>
      </c>
      <c r="B13" s="35" t="s">
        <v>337</v>
      </c>
      <c r="C13" s="35" t="s">
        <v>16</v>
      </c>
      <c r="D13" s="35" t="s">
        <v>338</v>
      </c>
      <c r="E13" s="25">
        <v>44060</v>
      </c>
      <c r="F13" s="34">
        <v>150000</v>
      </c>
      <c r="G13" s="34">
        <v>23866.62</v>
      </c>
      <c r="H13" s="34">
        <v>4305</v>
      </c>
      <c r="I13" s="34">
        <v>4560</v>
      </c>
      <c r="J13" s="35">
        <v>25</v>
      </c>
      <c r="K13" s="34">
        <v>32756.62</v>
      </c>
      <c r="L13" s="34">
        <v>117243.38</v>
      </c>
      <c r="M13" s="34" t="s">
        <v>335</v>
      </c>
      <c r="N13" s="36" t="s">
        <v>35</v>
      </c>
    </row>
    <row r="14" spans="1:15" ht="30" customHeight="1">
      <c r="A14" s="1" t="s">
        <v>31</v>
      </c>
      <c r="B14" s="35" t="s">
        <v>339</v>
      </c>
      <c r="C14" s="35" t="s">
        <v>16</v>
      </c>
      <c r="D14" s="35" t="s">
        <v>340</v>
      </c>
      <c r="E14" s="25">
        <v>41205</v>
      </c>
      <c r="F14" s="34">
        <v>100000</v>
      </c>
      <c r="G14" s="34">
        <v>12105.37</v>
      </c>
      <c r="H14" s="34">
        <v>2870</v>
      </c>
      <c r="I14" s="34">
        <v>3040</v>
      </c>
      <c r="J14" s="34">
        <v>1125</v>
      </c>
      <c r="K14" s="34">
        <v>19140.37</v>
      </c>
      <c r="L14" s="34">
        <v>80859.63</v>
      </c>
      <c r="M14" s="34" t="s">
        <v>341</v>
      </c>
      <c r="N14" s="36" t="s">
        <v>19</v>
      </c>
    </row>
    <row r="15" spans="1:15" ht="30" customHeight="1">
      <c r="A15" s="26" t="s">
        <v>33</v>
      </c>
      <c r="B15" s="35" t="s">
        <v>342</v>
      </c>
      <c r="C15" s="35" t="s">
        <v>16</v>
      </c>
      <c r="D15" s="35" t="s">
        <v>343</v>
      </c>
      <c r="E15" s="25">
        <v>44060</v>
      </c>
      <c r="F15" s="34">
        <v>110000</v>
      </c>
      <c r="G15" s="34">
        <v>14457.62</v>
      </c>
      <c r="H15" s="34">
        <v>3157</v>
      </c>
      <c r="I15" s="34">
        <v>3344</v>
      </c>
      <c r="J15" s="35">
        <v>25</v>
      </c>
      <c r="K15" s="34">
        <v>20983.62</v>
      </c>
      <c r="L15" s="34">
        <v>89016.38</v>
      </c>
      <c r="M15" s="37" t="s">
        <v>335</v>
      </c>
      <c r="N15" s="38" t="s">
        <v>19</v>
      </c>
    </row>
    <row r="16" spans="1:15" ht="30" customHeight="1">
      <c r="A16" s="26" t="s">
        <v>36</v>
      </c>
      <c r="B16" s="35" t="s">
        <v>344</v>
      </c>
      <c r="C16" s="35" t="s">
        <v>16</v>
      </c>
      <c r="D16" s="35" t="s">
        <v>345</v>
      </c>
      <c r="E16" s="25">
        <v>38384</v>
      </c>
      <c r="F16" s="34">
        <v>100000</v>
      </c>
      <c r="G16" s="34">
        <v>12105.37</v>
      </c>
      <c r="H16" s="34">
        <v>2870</v>
      </c>
      <c r="I16" s="34">
        <v>3040</v>
      </c>
      <c r="J16" s="35">
        <v>25</v>
      </c>
      <c r="K16" s="34">
        <v>18040.37</v>
      </c>
      <c r="L16" s="34">
        <v>81959.63</v>
      </c>
      <c r="M16" s="34" t="s">
        <v>346</v>
      </c>
      <c r="N16" s="36" t="s">
        <v>19</v>
      </c>
    </row>
    <row r="17" spans="1:14" ht="30" customHeight="1">
      <c r="A17" s="1" t="s">
        <v>39</v>
      </c>
      <c r="B17" s="35" t="s">
        <v>347</v>
      </c>
      <c r="C17" s="35" t="s">
        <v>16</v>
      </c>
      <c r="D17" s="35" t="s">
        <v>22</v>
      </c>
      <c r="E17" s="25">
        <v>44205</v>
      </c>
      <c r="F17" s="34">
        <v>80000</v>
      </c>
      <c r="G17" s="34">
        <v>6390.86</v>
      </c>
      <c r="H17" s="34">
        <v>2296</v>
      </c>
      <c r="I17" s="34">
        <v>2432</v>
      </c>
      <c r="J17" s="35">
        <v>25</v>
      </c>
      <c r="K17" s="34">
        <f>+Tabla4[[#This Row],[ISR
(Ley 11-92)
(1*)]]+Tabla4[[#This Row],[Seguro 
de Pensión 
(2.87%) 
 (2*)]]+Tabla4[[#This Row],[Seguro 
de Salud (3.04%)
 (3*)]]+Tabla4[[#This Row],[Otros 
Descuentos]]</f>
        <v>11143.86</v>
      </c>
      <c r="L17" s="34">
        <f>+Tabla4[[#This Row],[Sueldo Bruto
(RD$)]]-Tabla4[[#This Row],[Total 
de 
Descuento]]</f>
        <v>68856.14</v>
      </c>
      <c r="M17" s="34" t="s">
        <v>346</v>
      </c>
      <c r="N17" s="36" t="s">
        <v>19</v>
      </c>
    </row>
    <row r="18" spans="1:14" ht="30" customHeight="1">
      <c r="A18" s="26" t="s">
        <v>41</v>
      </c>
      <c r="B18" s="35" t="s">
        <v>348</v>
      </c>
      <c r="C18" s="35" t="s">
        <v>16</v>
      </c>
      <c r="D18" s="35" t="s">
        <v>22</v>
      </c>
      <c r="E18" s="25">
        <v>43010</v>
      </c>
      <c r="F18" s="34">
        <v>80000</v>
      </c>
      <c r="G18" s="34">
        <v>7400.87</v>
      </c>
      <c r="H18" s="34">
        <v>2296</v>
      </c>
      <c r="I18" s="34">
        <v>2432</v>
      </c>
      <c r="J18" s="35">
        <v>25</v>
      </c>
      <c r="K18" s="34">
        <f>+Tabla4[[#This Row],[ISR
(Ley 11-92)
(1*)]]+Tabla4[[#This Row],[Seguro 
de Pensión 
(2.87%) 
 (2*)]]+Tabla4[[#This Row],[Seguro 
de Salud (3.04%)
 (3*)]]+Tabla4[[#This Row],[Otros 
Descuentos]]</f>
        <v>12153.869999999999</v>
      </c>
      <c r="L18" s="34">
        <f>+Tabla4[[#This Row],[Sueldo Bruto
(RD$)]]-Tabla4[[#This Row],[Total 
de 
Descuento]]</f>
        <v>67846.13</v>
      </c>
      <c r="M18" s="34" t="s">
        <v>341</v>
      </c>
      <c r="N18" s="36" t="s">
        <v>19</v>
      </c>
    </row>
    <row r="19" spans="1:14" ht="30" customHeight="1">
      <c r="A19" s="26" t="s">
        <v>44</v>
      </c>
      <c r="B19" s="35" t="s">
        <v>604</v>
      </c>
      <c r="C19" s="35" t="s">
        <v>16</v>
      </c>
      <c r="D19" s="35" t="s">
        <v>22</v>
      </c>
      <c r="E19" s="25">
        <v>44725</v>
      </c>
      <c r="F19" s="34">
        <v>80000</v>
      </c>
      <c r="G19" s="34">
        <v>7400.87</v>
      </c>
      <c r="H19" s="34">
        <v>2296</v>
      </c>
      <c r="I19" s="34">
        <v>2432</v>
      </c>
      <c r="J19" s="35">
        <v>25</v>
      </c>
      <c r="K19" s="34">
        <f>+Tabla4[[#This Row],[ISR
(Ley 11-92)
(1*)]]+Tabla4[[#This Row],[Seguro 
de Pensión 
(2.87%) 
 (2*)]]+Tabla4[[#This Row],[Seguro 
de Salud (3.04%)
 (3*)]]+Tabla4[[#This Row],[Otros 
Descuentos]]</f>
        <v>12153.869999999999</v>
      </c>
      <c r="L19" s="34">
        <f>+Tabla4[[#This Row],[Sueldo Bruto
(RD$)]]-Tabla4[[#This Row],[Total 
de 
Descuento]]</f>
        <v>67846.13</v>
      </c>
      <c r="M19" s="34" t="s">
        <v>346</v>
      </c>
      <c r="N19" s="36" t="s">
        <v>19</v>
      </c>
    </row>
    <row r="20" spans="1:14" ht="30" customHeight="1">
      <c r="A20" s="1" t="s">
        <v>48</v>
      </c>
      <c r="B20" s="35" t="s">
        <v>349</v>
      </c>
      <c r="C20" s="35" t="s">
        <v>16</v>
      </c>
      <c r="D20" s="35" t="s">
        <v>350</v>
      </c>
      <c r="E20" s="25">
        <v>44641</v>
      </c>
      <c r="F20" s="34">
        <v>42000</v>
      </c>
      <c r="G20" s="34">
        <v>724.92</v>
      </c>
      <c r="H20" s="34">
        <v>1205.4000000000001</v>
      </c>
      <c r="I20" s="34">
        <v>1276.8</v>
      </c>
      <c r="J20" s="99">
        <v>5025</v>
      </c>
      <c r="K20" s="34">
        <f>+Tabla4[[#This Row],[ISR
(Ley 11-92)
(1*)]]+Tabla4[[#This Row],[Seguro 
de Pensión 
(2.87%) 
 (2*)]]+Tabla4[[#This Row],[Seguro 
de Salud (3.04%)
 (3*)]]+Tabla4[[#This Row],[Otros 
Descuentos]]</f>
        <v>8232.119999999999</v>
      </c>
      <c r="L20" s="34">
        <f>+Tabla4[[#This Row],[Sueldo Bruto
(RD$)]]-Tabla4[[#This Row],[Total 
de 
Descuento]]</f>
        <v>33767.880000000005</v>
      </c>
      <c r="M20" s="34" t="s">
        <v>335</v>
      </c>
      <c r="N20" s="36" t="s">
        <v>19</v>
      </c>
    </row>
    <row r="21" spans="1:14" ht="30" customHeight="1">
      <c r="A21" s="26" t="s">
        <v>50</v>
      </c>
      <c r="B21" s="35" t="s">
        <v>351</v>
      </c>
      <c r="C21" s="35" t="s">
        <v>16</v>
      </c>
      <c r="D21" s="35" t="s">
        <v>350</v>
      </c>
      <c r="E21" s="25">
        <v>41153</v>
      </c>
      <c r="F21" s="34">
        <v>65000</v>
      </c>
      <c r="G21" s="34">
        <v>4157.55</v>
      </c>
      <c r="H21" s="34">
        <v>1865.5</v>
      </c>
      <c r="I21" s="34">
        <v>1976</v>
      </c>
      <c r="J21" s="34">
        <v>1475.12</v>
      </c>
      <c r="K21" s="34">
        <f>+Tabla4[[#This Row],[ISR
(Ley 11-92)
(1*)]]+Tabla4[[#This Row],[Seguro 
de Pensión 
(2.87%) 
 (2*)]]+Tabla4[[#This Row],[Seguro 
de Salud (3.04%)
 (3*)]]+Tabla4[[#This Row],[Otros 
Descuentos]]</f>
        <v>9474.17</v>
      </c>
      <c r="L21" s="34">
        <f>+Tabla4[[#This Row],[Sueldo Bruto
(RD$)]]-Tabla4[[#This Row],[Total 
de 
Descuento]]</f>
        <v>55525.83</v>
      </c>
      <c r="M21" s="35" t="s">
        <v>341</v>
      </c>
      <c r="N21" s="39" t="s">
        <v>19</v>
      </c>
    </row>
    <row r="22" spans="1:14" ht="30" customHeight="1">
      <c r="A22" s="26" t="s">
        <v>52</v>
      </c>
      <c r="B22" s="35" t="s">
        <v>352</v>
      </c>
      <c r="C22" s="35" t="s">
        <v>16</v>
      </c>
      <c r="D22" s="35" t="s">
        <v>353</v>
      </c>
      <c r="E22" s="25">
        <v>43040</v>
      </c>
      <c r="F22" s="34">
        <v>42000</v>
      </c>
      <c r="G22" s="34">
        <v>0</v>
      </c>
      <c r="H22" s="34">
        <v>1205.4000000000001</v>
      </c>
      <c r="I22" s="34">
        <v>1276.8</v>
      </c>
      <c r="J22" s="34">
        <v>1475.12</v>
      </c>
      <c r="K22" s="34">
        <v>3957.32</v>
      </c>
      <c r="L22" s="34">
        <v>38042.68</v>
      </c>
      <c r="M22" s="35" t="s">
        <v>341</v>
      </c>
      <c r="N22" s="39" t="s">
        <v>19</v>
      </c>
    </row>
    <row r="23" spans="1:14" ht="30" customHeight="1">
      <c r="A23" s="1" t="s">
        <v>56</v>
      </c>
      <c r="B23" s="35" t="s">
        <v>354</v>
      </c>
      <c r="C23" s="35" t="s">
        <v>16</v>
      </c>
      <c r="D23" s="35" t="s">
        <v>355</v>
      </c>
      <c r="E23" s="25">
        <v>44305</v>
      </c>
      <c r="F23" s="34">
        <v>50000</v>
      </c>
      <c r="G23" s="34">
        <v>0</v>
      </c>
      <c r="H23" s="34">
        <v>1435</v>
      </c>
      <c r="I23" s="34">
        <v>1520</v>
      </c>
      <c r="J23" s="34">
        <v>1375.12</v>
      </c>
      <c r="K23" s="34">
        <v>4330.12</v>
      </c>
      <c r="L23" s="34">
        <v>45669.88</v>
      </c>
      <c r="M23" s="34" t="s">
        <v>335</v>
      </c>
      <c r="N23" s="39" t="s">
        <v>19</v>
      </c>
    </row>
    <row r="24" spans="1:14" ht="30" customHeight="1">
      <c r="A24" s="26" t="s">
        <v>58</v>
      </c>
      <c r="B24" s="35" t="s">
        <v>356</v>
      </c>
      <c r="C24" s="35" t="s">
        <v>16</v>
      </c>
      <c r="D24" s="35" t="s">
        <v>355</v>
      </c>
      <c r="E24" s="25">
        <v>44067</v>
      </c>
      <c r="F24" s="34">
        <v>50000</v>
      </c>
      <c r="G24" s="34">
        <v>1854</v>
      </c>
      <c r="H24" s="34">
        <v>1435</v>
      </c>
      <c r="I24" s="34">
        <v>1520</v>
      </c>
      <c r="J24" s="35">
        <v>125</v>
      </c>
      <c r="K24" s="34">
        <v>4934</v>
      </c>
      <c r="L24" s="34">
        <v>45066</v>
      </c>
      <c r="M24" s="34" t="s">
        <v>335</v>
      </c>
      <c r="N24" s="36" t="s">
        <v>19</v>
      </c>
    </row>
    <row r="25" spans="1:14" ht="30" customHeight="1">
      <c r="A25" s="26" t="s">
        <v>60</v>
      </c>
      <c r="B25" s="35" t="s">
        <v>357</v>
      </c>
      <c r="C25" s="35" t="s">
        <v>16</v>
      </c>
      <c r="D25" s="35" t="s">
        <v>358</v>
      </c>
      <c r="E25" s="25">
        <v>44060</v>
      </c>
      <c r="F25" s="34">
        <v>30000</v>
      </c>
      <c r="G25" s="34">
        <v>0</v>
      </c>
      <c r="H25" s="34">
        <v>861</v>
      </c>
      <c r="I25" s="34">
        <v>912</v>
      </c>
      <c r="J25" s="35">
        <v>125</v>
      </c>
      <c r="K25" s="34">
        <v>1898</v>
      </c>
      <c r="L25" s="34">
        <v>28102</v>
      </c>
      <c r="M25" s="34" t="s">
        <v>335</v>
      </c>
      <c r="N25" s="36" t="s">
        <v>35</v>
      </c>
    </row>
    <row r="26" spans="1:14" s="104" customFormat="1" ht="30" customHeight="1">
      <c r="A26" s="1" t="s">
        <v>62</v>
      </c>
      <c r="B26" s="100" t="s">
        <v>359</v>
      </c>
      <c r="C26" s="100" t="s">
        <v>46</v>
      </c>
      <c r="D26" s="100" t="s">
        <v>360</v>
      </c>
      <c r="E26" s="31">
        <v>42653</v>
      </c>
      <c r="F26" s="101">
        <v>65000</v>
      </c>
      <c r="G26" s="100">
        <v>4427.58</v>
      </c>
      <c r="H26" s="101">
        <v>1865.5</v>
      </c>
      <c r="I26" s="101">
        <v>1976</v>
      </c>
      <c r="J26" s="100">
        <v>25</v>
      </c>
      <c r="K26" s="101">
        <f>+Tabla4[[#This Row],[ISR
(Ley 11-92)
(1*)]]+Tabla4[[#This Row],[Seguro 
de Pensión 
(2.87%) 
 (2*)]]+Tabla4[[#This Row],[Seguro 
de Salud (3.04%)
 (3*)]]+Tabla4[[#This Row],[Otros 
Descuentos]]</f>
        <v>8294.08</v>
      </c>
      <c r="L26" s="101">
        <f>+Tabla4[[#This Row],[Sueldo Bruto
(RD$)]]-Tabla4[[#This Row],[Total 
de 
Descuento]]</f>
        <v>56705.919999999998</v>
      </c>
      <c r="M26" s="100" t="s">
        <v>341</v>
      </c>
      <c r="N26" s="111" t="s">
        <v>19</v>
      </c>
    </row>
    <row r="27" spans="1:14" ht="30" customHeight="1">
      <c r="A27" s="26" t="s">
        <v>65</v>
      </c>
      <c r="B27" s="35" t="s">
        <v>361</v>
      </c>
      <c r="C27" s="35" t="s">
        <v>46</v>
      </c>
      <c r="D27" s="35" t="s">
        <v>362</v>
      </c>
      <c r="E27" s="27">
        <v>42401</v>
      </c>
      <c r="F27" s="34">
        <v>45000</v>
      </c>
      <c r="G27" s="34">
        <v>1148.33</v>
      </c>
      <c r="H27" s="34">
        <v>1291.5</v>
      </c>
      <c r="I27" s="34">
        <v>1368</v>
      </c>
      <c r="J27" s="34">
        <v>7010.39</v>
      </c>
      <c r="K27" s="34">
        <v>10818.22</v>
      </c>
      <c r="L27" s="34">
        <v>34181.78</v>
      </c>
      <c r="M27" s="35" t="s">
        <v>341</v>
      </c>
      <c r="N27" s="36" t="s">
        <v>35</v>
      </c>
    </row>
    <row r="28" spans="1:14" ht="30" customHeight="1">
      <c r="A28" s="26" t="s">
        <v>68</v>
      </c>
      <c r="B28" s="35" t="s">
        <v>363</v>
      </c>
      <c r="C28" s="35" t="s">
        <v>46</v>
      </c>
      <c r="D28" s="35" t="s">
        <v>362</v>
      </c>
      <c r="E28" s="27">
        <v>44102</v>
      </c>
      <c r="F28" s="34">
        <v>45000</v>
      </c>
      <c r="G28" s="35">
        <v>945.81</v>
      </c>
      <c r="H28" s="34">
        <v>1291.5</v>
      </c>
      <c r="I28" s="34">
        <v>1368</v>
      </c>
      <c r="J28" s="34">
        <v>1375.12</v>
      </c>
      <c r="K28" s="34">
        <v>4980.43</v>
      </c>
      <c r="L28" s="34">
        <v>40019.57</v>
      </c>
      <c r="M28" s="35" t="s">
        <v>341</v>
      </c>
      <c r="N28" s="36" t="s">
        <v>35</v>
      </c>
    </row>
    <row r="29" spans="1:14" ht="30" customHeight="1">
      <c r="A29" s="1" t="s">
        <v>70</v>
      </c>
      <c r="B29" s="35" t="s">
        <v>364</v>
      </c>
      <c r="C29" s="35" t="s">
        <v>46</v>
      </c>
      <c r="D29" s="35" t="s">
        <v>365</v>
      </c>
      <c r="E29" s="27">
        <v>42552</v>
      </c>
      <c r="F29" s="34">
        <v>60000</v>
      </c>
      <c r="G29" s="35">
        <v>0</v>
      </c>
      <c r="H29" s="34">
        <v>1722</v>
      </c>
      <c r="I29" s="34">
        <v>1824</v>
      </c>
      <c r="J29" s="34">
        <v>1375.12</v>
      </c>
      <c r="K29" s="34">
        <v>4921.12</v>
      </c>
      <c r="L29" s="34">
        <v>55078.879999999997</v>
      </c>
      <c r="M29" s="35" t="s">
        <v>341</v>
      </c>
      <c r="N29" s="36" t="s">
        <v>35</v>
      </c>
    </row>
    <row r="30" spans="1:14" ht="30" customHeight="1">
      <c r="A30" s="26" t="s">
        <v>73</v>
      </c>
      <c r="B30" s="35" t="s">
        <v>605</v>
      </c>
      <c r="C30" s="35" t="s">
        <v>46</v>
      </c>
      <c r="D30" s="110" t="s">
        <v>365</v>
      </c>
      <c r="E30" s="27">
        <v>44725</v>
      </c>
      <c r="F30" s="34">
        <v>50000</v>
      </c>
      <c r="G30" s="99">
        <v>1448.96</v>
      </c>
      <c r="H30" s="34">
        <v>1435</v>
      </c>
      <c r="I30" s="34">
        <v>1520</v>
      </c>
      <c r="J30" s="34">
        <v>2725.24</v>
      </c>
      <c r="K30" s="34">
        <f>+Tabla4[[#This Row],[ISR
(Ley 11-92)
(1*)]]+Tabla4[[#This Row],[Seguro 
de Pensión 
(2.87%) 
 (2*)]]+Tabla4[[#This Row],[Seguro 
de Salud (3.04%)
 (3*)]]+Tabla4[[#This Row],[Otros 
Descuentos]]</f>
        <v>7129.2</v>
      </c>
      <c r="L30" s="34">
        <f>+Tabla4[[#This Row],[Sueldo Bruto
(RD$)]]-Tabla4[[#This Row],[Total 
de 
Descuento]]</f>
        <v>42870.8</v>
      </c>
      <c r="M30" s="35" t="s">
        <v>341</v>
      </c>
      <c r="N30" s="36" t="s">
        <v>19</v>
      </c>
    </row>
    <row r="31" spans="1:14" ht="30" customHeight="1">
      <c r="A31" s="26" t="s">
        <v>76</v>
      </c>
      <c r="B31" s="35" t="s">
        <v>366</v>
      </c>
      <c r="C31" s="35" t="s">
        <v>46</v>
      </c>
      <c r="D31" s="35" t="s">
        <v>355</v>
      </c>
      <c r="E31" s="27">
        <v>44116</v>
      </c>
      <c r="F31" s="34">
        <v>30000</v>
      </c>
      <c r="G31" s="35">
        <v>0</v>
      </c>
      <c r="H31" s="35">
        <v>861</v>
      </c>
      <c r="I31" s="35">
        <v>912</v>
      </c>
      <c r="J31" s="34">
        <v>7919.01</v>
      </c>
      <c r="K31" s="34">
        <f>+Tabla4[[#This Row],[ISR
(Ley 11-92)
(1*)]]+Tabla4[[#This Row],[Seguro 
de Pensión 
(2.87%) 
 (2*)]]+Tabla4[[#This Row],[Seguro 
de Salud (3.04%)
 (3*)]]+Tabla4[[#This Row],[Otros 
Descuentos]]</f>
        <v>9692.01</v>
      </c>
      <c r="L31" s="34">
        <f>+Tabla4[[#This Row],[Sueldo Bruto
(RD$)]]-Tabla4[[#This Row],[Total 
de 
Descuento]]</f>
        <v>20307.989999999998</v>
      </c>
      <c r="M31" s="35" t="s">
        <v>341</v>
      </c>
      <c r="N31" s="36" t="s">
        <v>19</v>
      </c>
    </row>
    <row r="32" spans="1:14" ht="30" customHeight="1">
      <c r="A32" s="1" t="s">
        <v>79</v>
      </c>
      <c r="B32" s="35" t="s">
        <v>367</v>
      </c>
      <c r="C32" s="35" t="s">
        <v>54</v>
      </c>
      <c r="D32" s="35" t="s">
        <v>38</v>
      </c>
      <c r="E32" s="27">
        <v>42036</v>
      </c>
      <c r="F32" s="34">
        <v>100000</v>
      </c>
      <c r="G32" s="34">
        <v>226.33</v>
      </c>
      <c r="H32" s="34">
        <v>2870</v>
      </c>
      <c r="I32" s="34">
        <v>3040</v>
      </c>
      <c r="J32" s="34">
        <v>1599.84</v>
      </c>
      <c r="K32" s="34">
        <f>+Tabla4[[#This Row],[ISR
(Ley 11-92)
(1*)]]+Tabla4[[#This Row],[Seguro 
de Pensión 
(2.87%) 
 (2*)]]+Tabla4[[#This Row],[Seguro 
de Salud (3.04%)
 (3*)]]+Tabla4[[#This Row],[Otros 
Descuentos]]</f>
        <v>7736.17</v>
      </c>
      <c r="L32" s="34">
        <f>+Tabla4[[#This Row],[Sueldo Bruto
(RD$)]]-Tabla4[[#This Row],[Total 
de 
Descuento]]</f>
        <v>92263.83</v>
      </c>
      <c r="M32" s="35" t="s">
        <v>341</v>
      </c>
      <c r="N32" s="36" t="s">
        <v>19</v>
      </c>
    </row>
    <row r="33" spans="1:14" ht="30" customHeight="1">
      <c r="A33" s="26" t="s">
        <v>81</v>
      </c>
      <c r="B33" s="35" t="s">
        <v>368</v>
      </c>
      <c r="C33" s="35" t="s">
        <v>61</v>
      </c>
      <c r="D33" s="35" t="s">
        <v>17</v>
      </c>
      <c r="E33" s="27">
        <v>43038</v>
      </c>
      <c r="F33" s="34">
        <v>100000</v>
      </c>
      <c r="G33" s="34">
        <v>11430.31</v>
      </c>
      <c r="H33" s="34">
        <v>2870</v>
      </c>
      <c r="I33" s="34">
        <v>3040</v>
      </c>
      <c r="J33" s="99">
        <v>2725.24</v>
      </c>
      <c r="K33" s="34">
        <f>+Tabla4[[#This Row],[ISR
(Ley 11-92)
(1*)]]+Tabla4[[#This Row],[Seguro 
de Pensión 
(2.87%) 
 (2*)]]+Tabla4[[#This Row],[Seguro 
de Salud (3.04%)
 (3*)]]+Tabla4[[#This Row],[Otros 
Descuentos]]</f>
        <v>20065.549999999996</v>
      </c>
      <c r="L33" s="34">
        <f>+Tabla4[[#This Row],[Sueldo Bruto
(RD$)]]-Tabla4[[#This Row],[Total 
de 
Descuento]]</f>
        <v>79934.450000000012</v>
      </c>
      <c r="M33" s="35" t="s">
        <v>341</v>
      </c>
      <c r="N33" s="36" t="s">
        <v>35</v>
      </c>
    </row>
    <row r="34" spans="1:14" ht="30" customHeight="1">
      <c r="A34" s="26" t="s">
        <v>83</v>
      </c>
      <c r="B34" s="35" t="s">
        <v>369</v>
      </c>
      <c r="C34" s="35" t="s">
        <v>61</v>
      </c>
      <c r="D34" s="35" t="s">
        <v>370</v>
      </c>
      <c r="E34" s="27">
        <v>39234</v>
      </c>
      <c r="F34" s="34">
        <v>100000</v>
      </c>
      <c r="G34" s="34">
        <v>11767.84</v>
      </c>
      <c r="H34" s="34">
        <v>2870</v>
      </c>
      <c r="I34" s="34">
        <v>3040</v>
      </c>
      <c r="J34" s="34">
        <v>1375.12</v>
      </c>
      <c r="K34" s="34">
        <f>+Tabla4[[#This Row],[ISR
(Ley 11-92)
(1*)]]+Tabla4[[#This Row],[Seguro 
de Pensión 
(2.87%) 
 (2*)]]+Tabla4[[#This Row],[Seguro 
de Salud (3.04%)
 (3*)]]+Tabla4[[#This Row],[Otros 
Descuentos]]</f>
        <v>19052.96</v>
      </c>
      <c r="L34" s="34">
        <f>+Tabla4[[#This Row],[Sueldo Bruto
(RD$)]]-Tabla4[[#This Row],[Total 
de 
Descuento]]</f>
        <v>80947.040000000008</v>
      </c>
      <c r="M34" s="34" t="s">
        <v>346</v>
      </c>
      <c r="N34" s="36" t="s">
        <v>35</v>
      </c>
    </row>
    <row r="35" spans="1:14" ht="30" customHeight="1">
      <c r="A35" s="1" t="s">
        <v>86</v>
      </c>
      <c r="B35" s="35" t="s">
        <v>371</v>
      </c>
      <c r="C35" s="35" t="s">
        <v>61</v>
      </c>
      <c r="D35" s="35" t="s">
        <v>372</v>
      </c>
      <c r="E35" s="27">
        <v>41061</v>
      </c>
      <c r="F35" s="34">
        <v>90000</v>
      </c>
      <c r="G35" s="34">
        <v>9415.59</v>
      </c>
      <c r="H35" s="34">
        <v>2583</v>
      </c>
      <c r="I35" s="34">
        <v>2736</v>
      </c>
      <c r="J35" s="34">
        <v>1949.96</v>
      </c>
      <c r="K35" s="34">
        <f>+Tabla4[[#This Row],[ISR
(Ley 11-92)
(1*)]]+Tabla4[[#This Row],[Seguro 
de Pensión 
(2.87%) 
 (2*)]]+Tabla4[[#This Row],[Seguro 
de Salud (3.04%)
 (3*)]]+Tabla4[[#This Row],[Otros 
Descuentos]]</f>
        <v>16684.55</v>
      </c>
      <c r="L35" s="34">
        <f>+Tabla4[[#This Row],[Sueldo Bruto
(RD$)]]-Tabla4[[#This Row],[Total 
de 
Descuento]]</f>
        <v>73315.45</v>
      </c>
      <c r="M35" s="34" t="s">
        <v>341</v>
      </c>
      <c r="N35" s="36" t="s">
        <v>35</v>
      </c>
    </row>
    <row r="36" spans="1:14" ht="30" customHeight="1">
      <c r="A36" s="26" t="s">
        <v>89</v>
      </c>
      <c r="B36" s="35" t="s">
        <v>373</v>
      </c>
      <c r="C36" s="35" t="s">
        <v>61</v>
      </c>
      <c r="D36" s="35" t="s">
        <v>606</v>
      </c>
      <c r="E36" s="27">
        <v>41276</v>
      </c>
      <c r="F36" s="34">
        <v>75000</v>
      </c>
      <c r="G36" s="99">
        <v>6039.35</v>
      </c>
      <c r="H36" s="34">
        <v>2152.5</v>
      </c>
      <c r="I36" s="34">
        <v>2280</v>
      </c>
      <c r="J36" s="34">
        <v>3375.12</v>
      </c>
      <c r="K36" s="34">
        <f>+Tabla4[[#This Row],[ISR
(Ley 11-92)
(1*)]]+Tabla4[[#This Row],[Seguro 
de Pensión 
(2.87%) 
 (2*)]]+Tabla4[[#This Row],[Seguro 
de Salud (3.04%)
 (3*)]]+Tabla4[[#This Row],[Otros 
Descuentos]]</f>
        <v>13846.970000000001</v>
      </c>
      <c r="L36" s="34">
        <f>+Tabla4[[#This Row],[Sueldo Bruto
(RD$)]]-Tabla4[[#This Row],[Total 
de 
Descuento]]</f>
        <v>61153.03</v>
      </c>
      <c r="M36" s="34" t="s">
        <v>341</v>
      </c>
      <c r="N36" s="36" t="s">
        <v>35</v>
      </c>
    </row>
    <row r="37" spans="1:14" ht="30" customHeight="1">
      <c r="A37" s="26" t="s">
        <v>92</v>
      </c>
      <c r="B37" s="35" t="s">
        <v>374</v>
      </c>
      <c r="C37" s="35" t="s">
        <v>61</v>
      </c>
      <c r="D37" s="35" t="s">
        <v>100</v>
      </c>
      <c r="E37" s="27">
        <v>42461</v>
      </c>
      <c r="F37" s="34">
        <v>60000</v>
      </c>
      <c r="G37" s="35">
        <v>0</v>
      </c>
      <c r="H37" s="34">
        <v>1722</v>
      </c>
      <c r="I37" s="34">
        <v>1824</v>
      </c>
      <c r="J37" s="35">
        <v>25</v>
      </c>
      <c r="K37" s="34">
        <f>+Tabla4[[#This Row],[Seguro 
de Pensión 
(2.87%) 
 (2*)]]+Tabla4[[#This Row],[Seguro 
de Salud (3.04%)
 (3*)]]+Tabla4[[#This Row],[ISR
(Ley 11-92)
(1*)]]+Tabla4[[#This Row],[Otros 
Descuentos]]</f>
        <v>3571</v>
      </c>
      <c r="L37" s="34">
        <f>+Tabla4[[#This Row],[Sueldo Bruto
(RD$)]]-Tabla4[[#This Row],[Total 
de 
Descuento]]</f>
        <v>56429</v>
      </c>
      <c r="M37" s="34" t="s">
        <v>346</v>
      </c>
      <c r="N37" s="36" t="s">
        <v>35</v>
      </c>
    </row>
    <row r="38" spans="1:14" ht="30" customHeight="1">
      <c r="A38" s="1" t="s">
        <v>95</v>
      </c>
      <c r="B38" s="35" t="s">
        <v>375</v>
      </c>
      <c r="C38" s="35" t="s">
        <v>61</v>
      </c>
      <c r="D38" s="35" t="s">
        <v>104</v>
      </c>
      <c r="E38" s="27">
        <v>39295</v>
      </c>
      <c r="F38" s="34">
        <v>55000</v>
      </c>
      <c r="G38" s="35">
        <v>0</v>
      </c>
      <c r="H38" s="34">
        <f>+Tabla4[[#This Row],[Sueldo Bruto
(RD$)]]*0.0287</f>
        <v>1578.5</v>
      </c>
      <c r="I38" s="34">
        <f>+Tabla4[[#This Row],[Sueldo Bruto
(RD$)]]*0.0304</f>
        <v>1672</v>
      </c>
      <c r="J38" s="35">
        <v>25</v>
      </c>
      <c r="K38" s="34">
        <f>+Tabla4[[#This Row],[ISR
(Ley 11-92)
(1*)]]+Tabla4[[#This Row],[Seguro 
de Pensión 
(2.87%) 
 (2*)]]+Tabla4[[#This Row],[Seguro 
de Salud (3.04%)
 (3*)]]+Tabla4[[#This Row],[Otros 
Descuentos]]</f>
        <v>3275.5</v>
      </c>
      <c r="L38" s="34">
        <f>+Tabla4[[#This Row],[Sueldo Bruto
(RD$)]]-Tabla4[[#This Row],[Total 
de 
Descuento]]</f>
        <v>51724.5</v>
      </c>
      <c r="M38" s="34" t="s">
        <v>341</v>
      </c>
      <c r="N38" s="36" t="s">
        <v>35</v>
      </c>
    </row>
    <row r="39" spans="1:14" ht="30" customHeight="1">
      <c r="A39" s="26" t="s">
        <v>98</v>
      </c>
      <c r="B39" s="35" t="s">
        <v>376</v>
      </c>
      <c r="C39" s="35" t="s">
        <v>61</v>
      </c>
      <c r="D39" s="35" t="s">
        <v>104</v>
      </c>
      <c r="E39" s="27">
        <v>43374</v>
      </c>
      <c r="F39" s="34">
        <v>42000</v>
      </c>
      <c r="G39" s="35">
        <v>724.92</v>
      </c>
      <c r="H39" s="34">
        <v>1205.4000000000001</v>
      </c>
      <c r="I39" s="34">
        <v>1276.8</v>
      </c>
      <c r="J39" s="35">
        <v>25</v>
      </c>
      <c r="K39" s="34">
        <v>3232.12</v>
      </c>
      <c r="L39" s="34">
        <v>38767.879999999997</v>
      </c>
      <c r="M39" s="34" t="s">
        <v>346</v>
      </c>
      <c r="N39" s="36" t="s">
        <v>35</v>
      </c>
    </row>
    <row r="40" spans="1:14" ht="30" customHeight="1">
      <c r="A40" s="26" t="s">
        <v>101</v>
      </c>
      <c r="B40" s="35" t="s">
        <v>377</v>
      </c>
      <c r="C40" s="35" t="s">
        <v>61</v>
      </c>
      <c r="D40" s="35" t="s">
        <v>104</v>
      </c>
      <c r="E40" s="27">
        <v>42309</v>
      </c>
      <c r="F40" s="34">
        <v>55000</v>
      </c>
      <c r="G40" s="35">
        <v>0</v>
      </c>
      <c r="H40" s="34">
        <v>1578.5</v>
      </c>
      <c r="I40" s="34">
        <v>1672</v>
      </c>
      <c r="J40" s="34">
        <v>5025</v>
      </c>
      <c r="K40" s="34">
        <f>+Tabla4[[#This Row],[ISR
(Ley 11-92)
(1*)]]+Tabla4[[#This Row],[Seguro 
de Pensión 
(2.87%) 
 (2*)]]+Tabla4[[#This Row],[Seguro 
de Salud (3.04%)
 (3*)]]+Tabla4[[#This Row],[Otros 
Descuentos]]</f>
        <v>8275.5</v>
      </c>
      <c r="L40" s="34">
        <f>+Tabla4[[#This Row],[Sueldo Bruto
(RD$)]]-Tabla4[[#This Row],[Total 
de 
Descuento]]</f>
        <v>46724.5</v>
      </c>
      <c r="M40" s="34" t="s">
        <v>341</v>
      </c>
      <c r="N40" s="36" t="s">
        <v>35</v>
      </c>
    </row>
    <row r="41" spans="1:14" ht="30" customHeight="1">
      <c r="A41" s="1" t="s">
        <v>102</v>
      </c>
      <c r="B41" s="35" t="s">
        <v>378</v>
      </c>
      <c r="C41" s="35" t="s">
        <v>61</v>
      </c>
      <c r="D41" s="35" t="s">
        <v>379</v>
      </c>
      <c r="E41" s="27">
        <v>44319</v>
      </c>
      <c r="F41" s="34">
        <v>30000</v>
      </c>
      <c r="G41" s="35">
        <v>0</v>
      </c>
      <c r="H41" s="35">
        <v>861</v>
      </c>
      <c r="I41" s="35">
        <v>912</v>
      </c>
      <c r="J41" s="35">
        <v>25</v>
      </c>
      <c r="K41" s="34">
        <v>1798</v>
      </c>
      <c r="L41" s="34">
        <v>28202</v>
      </c>
      <c r="M41" s="34" t="s">
        <v>341</v>
      </c>
      <c r="N41" s="36" t="s">
        <v>19</v>
      </c>
    </row>
    <row r="42" spans="1:14" s="104" customFormat="1" ht="30" customHeight="1">
      <c r="A42" s="26" t="s">
        <v>105</v>
      </c>
      <c r="B42" s="100" t="s">
        <v>380</v>
      </c>
      <c r="C42" s="100" t="s">
        <v>107</v>
      </c>
      <c r="D42" s="100" t="s">
        <v>381</v>
      </c>
      <c r="E42" s="31">
        <v>44623</v>
      </c>
      <c r="F42" s="101">
        <v>90000</v>
      </c>
      <c r="G42" s="101">
        <v>9078.06</v>
      </c>
      <c r="H42" s="101">
        <v>2583</v>
      </c>
      <c r="I42" s="101">
        <v>2736</v>
      </c>
      <c r="J42" s="101">
        <v>2725.24</v>
      </c>
      <c r="K42" s="101">
        <v>17122.3</v>
      </c>
      <c r="L42" s="101">
        <v>72877.7</v>
      </c>
      <c r="M42" s="101" t="s">
        <v>346</v>
      </c>
      <c r="N42" s="111" t="s">
        <v>19</v>
      </c>
    </row>
    <row r="43" spans="1:14" ht="30" customHeight="1">
      <c r="A43" s="26" t="s">
        <v>109</v>
      </c>
      <c r="B43" s="35" t="s">
        <v>382</v>
      </c>
      <c r="C43" s="35" t="s">
        <v>107</v>
      </c>
      <c r="D43" s="35" t="s">
        <v>120</v>
      </c>
      <c r="E43" s="27">
        <v>43038</v>
      </c>
      <c r="F43" s="34">
        <v>70000</v>
      </c>
      <c r="G43" s="99">
        <v>4828.43</v>
      </c>
      <c r="H43" s="34">
        <v>2009</v>
      </c>
      <c r="I43" s="34">
        <v>2128</v>
      </c>
      <c r="J43" s="34">
        <v>4449.76</v>
      </c>
      <c r="K43" s="34">
        <f>+Tabla4[[#This Row],[ISR
(Ley 11-92)
(1*)]]+Tabla4[[#This Row],[Seguro 
de Pensión 
(2.87%) 
 (2*)]]+Tabla4[[#This Row],[Seguro 
de Salud (3.04%)
 (3*)]]+Tabla4[[#This Row],[Otros 
Descuentos]]</f>
        <v>13415.19</v>
      </c>
      <c r="L43" s="34">
        <f>+Tabla4[[#This Row],[Sueldo Bruto
(RD$)]]-Tabla4[[#This Row],[Total 
de 
Descuento]]</f>
        <v>56584.81</v>
      </c>
      <c r="M43" s="34" t="s">
        <v>341</v>
      </c>
      <c r="N43" s="36" t="s">
        <v>19</v>
      </c>
    </row>
    <row r="44" spans="1:14" ht="30" customHeight="1">
      <c r="A44" s="1" t="s">
        <v>112</v>
      </c>
      <c r="B44" s="35" t="s">
        <v>383</v>
      </c>
      <c r="C44" s="35" t="s">
        <v>107</v>
      </c>
      <c r="D44" s="35" t="s">
        <v>381</v>
      </c>
      <c r="E44" s="27">
        <v>44530</v>
      </c>
      <c r="F44" s="34">
        <v>65000</v>
      </c>
      <c r="G44" s="35">
        <v>0</v>
      </c>
      <c r="H44" s="34">
        <v>1865.5</v>
      </c>
      <c r="I44" s="34">
        <v>1976</v>
      </c>
      <c r="J44" s="35">
        <v>25</v>
      </c>
      <c r="K44" s="34">
        <v>3866.5</v>
      </c>
      <c r="L44" s="34">
        <v>61133.5</v>
      </c>
      <c r="M44" s="34" t="s">
        <v>346</v>
      </c>
      <c r="N44" s="36" t="s">
        <v>35</v>
      </c>
    </row>
    <row r="45" spans="1:14" ht="30" customHeight="1">
      <c r="A45" s="26" t="s">
        <v>115</v>
      </c>
      <c r="B45" s="35" t="s">
        <v>384</v>
      </c>
      <c r="C45" s="35" t="s">
        <v>107</v>
      </c>
      <c r="D45" s="35" t="s">
        <v>385</v>
      </c>
      <c r="E45" s="27">
        <v>43010</v>
      </c>
      <c r="F45" s="34">
        <v>42000</v>
      </c>
      <c r="G45" s="35">
        <v>0</v>
      </c>
      <c r="H45" s="34">
        <v>1205.4000000000001</v>
      </c>
      <c r="I45" s="34">
        <v>1276.8</v>
      </c>
      <c r="J45" s="35">
        <v>25</v>
      </c>
      <c r="K45" s="34">
        <v>2507.1999999999998</v>
      </c>
      <c r="L45" s="34">
        <v>39492.800000000003</v>
      </c>
      <c r="M45" s="34" t="s">
        <v>341</v>
      </c>
      <c r="N45" s="36" t="s">
        <v>19</v>
      </c>
    </row>
    <row r="46" spans="1:14" ht="30" customHeight="1">
      <c r="A46" s="26" t="s">
        <v>118</v>
      </c>
      <c r="B46" s="35" t="s">
        <v>386</v>
      </c>
      <c r="C46" s="35" t="s">
        <v>123</v>
      </c>
      <c r="D46" s="35" t="s">
        <v>387</v>
      </c>
      <c r="E46" s="27">
        <v>42795</v>
      </c>
      <c r="F46" s="34">
        <v>90000</v>
      </c>
      <c r="G46" s="34">
        <v>9753.1200000000008</v>
      </c>
      <c r="H46" s="34">
        <v>2583</v>
      </c>
      <c r="I46" s="34">
        <v>2736</v>
      </c>
      <c r="J46" s="35">
        <v>125</v>
      </c>
      <c r="K46" s="34">
        <v>15197.12</v>
      </c>
      <c r="L46" s="34">
        <v>74802.880000000005</v>
      </c>
      <c r="M46" s="34" t="s">
        <v>341</v>
      </c>
      <c r="N46" s="36" t="s">
        <v>19</v>
      </c>
    </row>
    <row r="47" spans="1:14" ht="30" customHeight="1">
      <c r="A47" s="1" t="s">
        <v>121</v>
      </c>
      <c r="B47" s="35" t="s">
        <v>388</v>
      </c>
      <c r="C47" s="35" t="s">
        <v>123</v>
      </c>
      <c r="D47" s="35" t="s">
        <v>389</v>
      </c>
      <c r="E47" s="27">
        <v>42826</v>
      </c>
      <c r="F47" s="34">
        <v>120000</v>
      </c>
      <c r="G47" s="34">
        <v>16809.87</v>
      </c>
      <c r="H47" s="34">
        <v>3444</v>
      </c>
      <c r="I47" s="34">
        <v>3648</v>
      </c>
      <c r="J47" s="35">
        <v>125</v>
      </c>
      <c r="K47" s="34">
        <f>+Tabla4[[#This Row],[ISR
(Ley 11-92)
(1*)]]+Tabla4[[#This Row],[Seguro 
de Pensión 
(2.87%) 
 (2*)]]+Tabla4[[#This Row],[Seguro 
de Salud (3.04%)
 (3*)]]+Tabla4[[#This Row],[Otros 
Descuentos]]</f>
        <v>24026.87</v>
      </c>
      <c r="L47" s="34">
        <f>+Tabla4[[#This Row],[Sueldo Bruto
(RD$)]]-Tabla4[[#This Row],[Total 
de 
Descuento]]</f>
        <v>95973.13</v>
      </c>
      <c r="M47" s="34" t="s">
        <v>341</v>
      </c>
      <c r="N47" s="36" t="s">
        <v>19</v>
      </c>
    </row>
    <row r="48" spans="1:14" ht="30" customHeight="1">
      <c r="A48" s="26" t="s">
        <v>125</v>
      </c>
      <c r="B48" s="35" t="s">
        <v>390</v>
      </c>
      <c r="C48" s="35" t="s">
        <v>123</v>
      </c>
      <c r="D48" s="35" t="s">
        <v>391</v>
      </c>
      <c r="E48" s="27">
        <v>41153</v>
      </c>
      <c r="F48" s="34">
        <v>85000</v>
      </c>
      <c r="G48" s="34">
        <v>7901.93</v>
      </c>
      <c r="H48" s="34">
        <v>2439.5</v>
      </c>
      <c r="I48" s="34">
        <v>2584</v>
      </c>
      <c r="J48" s="34">
        <v>2825.24</v>
      </c>
      <c r="K48" s="34">
        <v>15750.67</v>
      </c>
      <c r="L48" s="34">
        <v>69249.33</v>
      </c>
      <c r="M48" s="34" t="s">
        <v>341</v>
      </c>
      <c r="N48" s="36" t="s">
        <v>19</v>
      </c>
    </row>
    <row r="49" spans="1:14" ht="30" customHeight="1">
      <c r="A49" s="26" t="s">
        <v>127</v>
      </c>
      <c r="B49" s="35" t="s">
        <v>392</v>
      </c>
      <c r="C49" s="35" t="s">
        <v>123</v>
      </c>
      <c r="D49" s="35" t="s">
        <v>393</v>
      </c>
      <c r="E49" s="27">
        <v>44440</v>
      </c>
      <c r="F49" s="34">
        <v>65000</v>
      </c>
      <c r="G49" s="34">
        <v>3887.53</v>
      </c>
      <c r="H49" s="34">
        <v>1865.5</v>
      </c>
      <c r="I49" s="34">
        <v>1976</v>
      </c>
      <c r="J49" s="34">
        <v>3725.24</v>
      </c>
      <c r="K49" s="34">
        <f>+Tabla4[[#This Row],[ISR
(Ley 11-92)
(1*)]]+Tabla4[[#This Row],[Seguro 
de Pensión 
(2.87%) 
 (2*)]]+Tabla4[[#This Row],[Seguro 
de Salud (3.04%)
 (3*)]]+Tabla4[[#This Row],[Otros 
Descuentos]]</f>
        <v>11454.27</v>
      </c>
      <c r="L49" s="34">
        <f>+Tabla4[[#This Row],[Sueldo Bruto
(RD$)]]-Tabla4[[#This Row],[Total 
de 
Descuento]]</f>
        <v>53545.729999999996</v>
      </c>
      <c r="M49" s="34" t="s">
        <v>346</v>
      </c>
      <c r="N49" s="36" t="s">
        <v>35</v>
      </c>
    </row>
    <row r="50" spans="1:14" ht="30" customHeight="1">
      <c r="A50" s="1" t="s">
        <v>130</v>
      </c>
      <c r="B50" s="35" t="s">
        <v>394</v>
      </c>
      <c r="C50" s="35" t="s">
        <v>123</v>
      </c>
      <c r="D50" s="35" t="s">
        <v>94</v>
      </c>
      <c r="E50" s="27">
        <v>38991</v>
      </c>
      <c r="F50" s="34">
        <v>71500</v>
      </c>
      <c r="G50" s="34">
        <v>5650.75</v>
      </c>
      <c r="H50" s="34">
        <v>2052.0500000000002</v>
      </c>
      <c r="I50" s="34">
        <v>2173.6</v>
      </c>
      <c r="J50" s="35">
        <v>25</v>
      </c>
      <c r="K50" s="34">
        <v>9901.4</v>
      </c>
      <c r="L50" s="34">
        <f>+Tabla4[[#This Row],[Sueldo Bruto
(RD$)]]-Tabla4[[#This Row],[Total 
de 
Descuento]]</f>
        <v>61598.6</v>
      </c>
      <c r="M50" s="34" t="s">
        <v>346</v>
      </c>
      <c r="N50" s="36" t="s">
        <v>19</v>
      </c>
    </row>
    <row r="51" spans="1:14" ht="30" customHeight="1">
      <c r="A51" s="26" t="s">
        <v>132</v>
      </c>
      <c r="B51" s="35" t="s">
        <v>395</v>
      </c>
      <c r="C51" s="35" t="s">
        <v>138</v>
      </c>
      <c r="D51" s="35" t="s">
        <v>396</v>
      </c>
      <c r="E51" s="28" t="s">
        <v>397</v>
      </c>
      <c r="F51" s="34">
        <v>80000</v>
      </c>
      <c r="G51" s="34">
        <v>7063.34</v>
      </c>
      <c r="H51" s="34">
        <v>2296</v>
      </c>
      <c r="I51" s="34">
        <v>2432</v>
      </c>
      <c r="J51" s="34">
        <v>1375.12</v>
      </c>
      <c r="K51" s="34">
        <v>13166.46</v>
      </c>
      <c r="L51" s="34">
        <v>66833.539999999994</v>
      </c>
      <c r="M51" s="34" t="s">
        <v>346</v>
      </c>
      <c r="N51" s="36" t="s">
        <v>19</v>
      </c>
    </row>
    <row r="52" spans="1:14" ht="30" customHeight="1">
      <c r="A52" s="26" t="s">
        <v>134</v>
      </c>
      <c r="B52" s="35" t="s">
        <v>398</v>
      </c>
      <c r="C52" s="35" t="s">
        <v>138</v>
      </c>
      <c r="D52" s="35" t="s">
        <v>145</v>
      </c>
      <c r="E52" s="27">
        <v>38443</v>
      </c>
      <c r="F52" s="34">
        <v>80000</v>
      </c>
      <c r="G52" s="34">
        <v>7063.34</v>
      </c>
      <c r="H52" s="34">
        <v>2296</v>
      </c>
      <c r="I52" s="34">
        <v>2432</v>
      </c>
      <c r="J52" s="34">
        <v>1375.12</v>
      </c>
      <c r="K52" s="34">
        <v>13166.46</v>
      </c>
      <c r="L52" s="34">
        <v>66833.539999999994</v>
      </c>
      <c r="M52" s="34" t="s">
        <v>346</v>
      </c>
      <c r="N52" s="36" t="s">
        <v>19</v>
      </c>
    </row>
    <row r="53" spans="1:14" ht="30" customHeight="1">
      <c r="A53" s="1" t="s">
        <v>136</v>
      </c>
      <c r="B53" s="35" t="s">
        <v>399</v>
      </c>
      <c r="C53" s="35" t="s">
        <v>138</v>
      </c>
      <c r="D53" s="35" t="s">
        <v>145</v>
      </c>
      <c r="E53" s="27">
        <v>41730</v>
      </c>
      <c r="F53" s="34">
        <v>65000</v>
      </c>
      <c r="G53" s="99">
        <v>4427.58</v>
      </c>
      <c r="H53" s="34">
        <v>1865.5</v>
      </c>
      <c r="I53" s="34">
        <v>1976</v>
      </c>
      <c r="J53" s="35">
        <v>25</v>
      </c>
      <c r="K53" s="34">
        <f>+Tabla4[[#This Row],[ISR
(Ley 11-92)
(1*)]]+Tabla4[[#This Row],[Seguro 
de Pensión 
(2.87%) 
 (2*)]]+Tabla4[[#This Row],[Seguro 
de Salud (3.04%)
 (3*)]]+Tabla4[[#This Row],[Otros 
Descuentos]]</f>
        <v>8294.08</v>
      </c>
      <c r="L53" s="34">
        <f>+Tabla4[[#This Row],[Sueldo Bruto
(RD$)]]-Tabla4[[#This Row],[Total 
de 
Descuento]]</f>
        <v>56705.919999999998</v>
      </c>
      <c r="M53" s="34" t="s">
        <v>341</v>
      </c>
      <c r="N53" s="36" t="s">
        <v>35</v>
      </c>
    </row>
    <row r="54" spans="1:14" ht="30" customHeight="1">
      <c r="A54" s="26" t="s">
        <v>140</v>
      </c>
      <c r="B54" s="35" t="s">
        <v>400</v>
      </c>
      <c r="C54" s="35" t="s">
        <v>138</v>
      </c>
      <c r="D54" s="35" t="s">
        <v>379</v>
      </c>
      <c r="E54" s="27">
        <v>44470</v>
      </c>
      <c r="F54" s="34">
        <v>35000</v>
      </c>
      <c r="G54" s="35">
        <v>0</v>
      </c>
      <c r="H54" s="34">
        <v>1004.5</v>
      </c>
      <c r="I54" s="34">
        <v>1064</v>
      </c>
      <c r="J54" s="34">
        <v>1444.25</v>
      </c>
      <c r="K54" s="34">
        <v>3512.75</v>
      </c>
      <c r="L54" s="34">
        <v>31487.25</v>
      </c>
      <c r="M54" s="34" t="s">
        <v>341</v>
      </c>
      <c r="N54" s="36" t="s">
        <v>19</v>
      </c>
    </row>
    <row r="55" spans="1:14" ht="30" customHeight="1">
      <c r="A55" s="26" t="s">
        <v>143</v>
      </c>
      <c r="B55" s="35" t="s">
        <v>401</v>
      </c>
      <c r="C55" s="35" t="s">
        <v>138</v>
      </c>
      <c r="D55" s="35" t="s">
        <v>355</v>
      </c>
      <c r="E55" s="27">
        <v>43102</v>
      </c>
      <c r="F55" s="34">
        <v>36000</v>
      </c>
      <c r="G55" s="34">
        <v>0</v>
      </c>
      <c r="H55" s="34">
        <v>1033.2</v>
      </c>
      <c r="I55" s="34">
        <v>1094.4000000000001</v>
      </c>
      <c r="J55" s="35">
        <v>25</v>
      </c>
      <c r="K55" s="34">
        <v>2152.6</v>
      </c>
      <c r="L55" s="34">
        <v>33847.4</v>
      </c>
      <c r="M55" s="34" t="s">
        <v>559</v>
      </c>
      <c r="N55" s="36" t="s">
        <v>19</v>
      </c>
    </row>
    <row r="56" spans="1:14" ht="30" customHeight="1">
      <c r="A56" s="1" t="s">
        <v>146</v>
      </c>
      <c r="B56" s="35" t="s">
        <v>402</v>
      </c>
      <c r="C56" s="35" t="s">
        <v>148</v>
      </c>
      <c r="D56" s="35" t="s">
        <v>403</v>
      </c>
      <c r="E56" s="27">
        <v>44298</v>
      </c>
      <c r="F56" s="34">
        <v>50000</v>
      </c>
      <c r="G56" s="35">
        <v>0</v>
      </c>
      <c r="H56" s="34">
        <v>1435</v>
      </c>
      <c r="I56" s="34">
        <v>1520</v>
      </c>
      <c r="J56" s="34">
        <v>3544.37</v>
      </c>
      <c r="K56" s="34">
        <v>6499.37</v>
      </c>
      <c r="L56" s="34">
        <v>43500.63</v>
      </c>
      <c r="M56" s="34" t="s">
        <v>341</v>
      </c>
      <c r="N56" s="36" t="s">
        <v>35</v>
      </c>
    </row>
    <row r="57" spans="1:14" ht="30" customHeight="1">
      <c r="A57" s="26" t="s">
        <v>150</v>
      </c>
      <c r="B57" s="35" t="s">
        <v>404</v>
      </c>
      <c r="C57" s="35" t="s">
        <v>148</v>
      </c>
      <c r="D57" s="35" t="s">
        <v>405</v>
      </c>
      <c r="E57" s="27">
        <v>33695</v>
      </c>
      <c r="F57" s="34">
        <v>26250</v>
      </c>
      <c r="G57" s="35">
        <v>0</v>
      </c>
      <c r="H57" s="35">
        <v>753.38</v>
      </c>
      <c r="I57" s="35">
        <v>798</v>
      </c>
      <c r="J57" s="35">
        <v>25</v>
      </c>
      <c r="K57" s="34">
        <v>1576.38</v>
      </c>
      <c r="L57" s="34">
        <v>24673.62</v>
      </c>
      <c r="M57" s="34" t="s">
        <v>341</v>
      </c>
      <c r="N57" s="36" t="s">
        <v>35</v>
      </c>
    </row>
    <row r="58" spans="1:14" ht="30" customHeight="1">
      <c r="A58" s="26" t="s">
        <v>154</v>
      </c>
      <c r="B58" s="35" t="s">
        <v>406</v>
      </c>
      <c r="C58" s="35" t="s">
        <v>148</v>
      </c>
      <c r="D58" s="35" t="s">
        <v>407</v>
      </c>
      <c r="E58" s="27">
        <v>41835</v>
      </c>
      <c r="F58" s="34">
        <v>26250</v>
      </c>
      <c r="G58" s="35">
        <v>0</v>
      </c>
      <c r="H58" s="35">
        <v>753.38</v>
      </c>
      <c r="I58" s="35">
        <v>798</v>
      </c>
      <c r="J58" s="35">
        <v>525</v>
      </c>
      <c r="K58" s="34">
        <v>2076.38</v>
      </c>
      <c r="L58" s="34">
        <v>24173.62</v>
      </c>
      <c r="M58" s="34" t="s">
        <v>559</v>
      </c>
      <c r="N58" s="36" t="s">
        <v>35</v>
      </c>
    </row>
    <row r="59" spans="1:14" ht="30" customHeight="1">
      <c r="A59" s="1" t="s">
        <v>157</v>
      </c>
      <c r="B59" s="35" t="s">
        <v>408</v>
      </c>
      <c r="C59" s="35" t="s">
        <v>148</v>
      </c>
      <c r="D59" s="35" t="s">
        <v>407</v>
      </c>
      <c r="E59" s="27">
        <v>43617</v>
      </c>
      <c r="F59" s="34">
        <v>25000</v>
      </c>
      <c r="G59" s="35">
        <v>0</v>
      </c>
      <c r="H59" s="35">
        <v>717.5</v>
      </c>
      <c r="I59" s="35">
        <v>760</v>
      </c>
      <c r="J59" s="34">
        <v>1625</v>
      </c>
      <c r="K59" s="34">
        <v>3102.5</v>
      </c>
      <c r="L59" s="34">
        <v>21897.5</v>
      </c>
      <c r="M59" s="34" t="s">
        <v>559</v>
      </c>
      <c r="N59" s="36" t="s">
        <v>35</v>
      </c>
    </row>
    <row r="60" spans="1:14" ht="30" customHeight="1">
      <c r="A60" s="26" t="s">
        <v>161</v>
      </c>
      <c r="B60" s="35" t="s">
        <v>409</v>
      </c>
      <c r="C60" s="35" t="s">
        <v>148</v>
      </c>
      <c r="D60" s="35" t="s">
        <v>358</v>
      </c>
      <c r="E60" s="27">
        <v>42856</v>
      </c>
      <c r="F60" s="34">
        <v>26250</v>
      </c>
      <c r="G60" s="35">
        <v>0</v>
      </c>
      <c r="H60" s="35">
        <v>753.38</v>
      </c>
      <c r="I60" s="35">
        <v>798</v>
      </c>
      <c r="J60" s="35">
        <v>25</v>
      </c>
      <c r="K60" s="34">
        <v>1576.38</v>
      </c>
      <c r="L60" s="34">
        <v>24673.62</v>
      </c>
      <c r="M60" s="34" t="s">
        <v>559</v>
      </c>
      <c r="N60" s="36" t="s">
        <v>35</v>
      </c>
    </row>
    <row r="61" spans="1:14" ht="30" customHeight="1">
      <c r="A61" s="26" t="s">
        <v>163</v>
      </c>
      <c r="B61" s="35" t="s">
        <v>410</v>
      </c>
      <c r="C61" s="35" t="s">
        <v>148</v>
      </c>
      <c r="D61" s="35" t="s">
        <v>358</v>
      </c>
      <c r="E61" s="27">
        <v>42767</v>
      </c>
      <c r="F61" s="34">
        <v>26250</v>
      </c>
      <c r="G61" s="35">
        <v>0</v>
      </c>
      <c r="H61" s="35">
        <v>753.38</v>
      </c>
      <c r="I61" s="35">
        <v>798</v>
      </c>
      <c r="J61" s="35">
        <v>625</v>
      </c>
      <c r="K61" s="34">
        <v>2176.38</v>
      </c>
      <c r="L61" s="34">
        <v>24073.62</v>
      </c>
      <c r="M61" s="34" t="s">
        <v>559</v>
      </c>
      <c r="N61" s="36" t="s">
        <v>35</v>
      </c>
    </row>
    <row r="62" spans="1:14" ht="30" customHeight="1">
      <c r="A62" s="1" t="s">
        <v>166</v>
      </c>
      <c r="B62" s="35" t="s">
        <v>411</v>
      </c>
      <c r="C62" s="35" t="s">
        <v>148</v>
      </c>
      <c r="D62" s="35" t="s">
        <v>358</v>
      </c>
      <c r="E62" s="27">
        <v>43313</v>
      </c>
      <c r="F62" s="34">
        <v>25000</v>
      </c>
      <c r="G62" s="35">
        <v>0</v>
      </c>
      <c r="H62" s="35">
        <v>717.5</v>
      </c>
      <c r="I62" s="35">
        <v>760</v>
      </c>
      <c r="J62" s="35">
        <v>125</v>
      </c>
      <c r="K62" s="34">
        <v>1602.5</v>
      </c>
      <c r="L62" s="34">
        <v>23397.5</v>
      </c>
      <c r="M62" s="34" t="s">
        <v>559</v>
      </c>
      <c r="N62" s="36" t="s">
        <v>35</v>
      </c>
    </row>
    <row r="63" spans="1:14" ht="30" customHeight="1">
      <c r="A63" s="26" t="s">
        <v>168</v>
      </c>
      <c r="B63" s="35" t="s">
        <v>412</v>
      </c>
      <c r="C63" s="35" t="s">
        <v>148</v>
      </c>
      <c r="D63" s="35" t="s">
        <v>358</v>
      </c>
      <c r="E63" s="27">
        <v>43346</v>
      </c>
      <c r="F63" s="34">
        <v>25000</v>
      </c>
      <c r="G63" s="35">
        <v>0</v>
      </c>
      <c r="H63" s="35">
        <v>717.5</v>
      </c>
      <c r="I63" s="35">
        <v>760</v>
      </c>
      <c r="J63" s="34">
        <v>1125</v>
      </c>
      <c r="K63" s="34">
        <v>2602.5</v>
      </c>
      <c r="L63" s="34">
        <v>22397.5</v>
      </c>
      <c r="M63" s="34" t="s">
        <v>559</v>
      </c>
      <c r="N63" s="36" t="s">
        <v>35</v>
      </c>
    </row>
    <row r="64" spans="1:14" ht="30" customHeight="1">
      <c r="A64" s="26" t="s">
        <v>171</v>
      </c>
      <c r="B64" s="35" t="s">
        <v>413</v>
      </c>
      <c r="C64" s="35" t="s">
        <v>148</v>
      </c>
      <c r="D64" s="35" t="s">
        <v>358</v>
      </c>
      <c r="E64" s="27">
        <v>44459</v>
      </c>
      <c r="F64" s="34">
        <v>20000</v>
      </c>
      <c r="G64" s="35">
        <v>0</v>
      </c>
      <c r="H64" s="35">
        <v>574</v>
      </c>
      <c r="I64" s="35">
        <v>608</v>
      </c>
      <c r="J64" s="35">
        <v>25</v>
      </c>
      <c r="K64" s="34">
        <v>1207</v>
      </c>
      <c r="L64" s="34">
        <v>18793</v>
      </c>
      <c r="M64" s="34" t="s">
        <v>559</v>
      </c>
      <c r="N64" s="36" t="s">
        <v>35</v>
      </c>
    </row>
    <row r="65" spans="1:14" ht="30" customHeight="1">
      <c r="A65" s="1" t="s">
        <v>173</v>
      </c>
      <c r="B65" s="35" t="s">
        <v>414</v>
      </c>
      <c r="C65" s="35" t="s">
        <v>148</v>
      </c>
      <c r="D65" s="35" t="s">
        <v>415</v>
      </c>
      <c r="E65" s="27">
        <v>38504</v>
      </c>
      <c r="F65" s="34">
        <v>29940.74</v>
      </c>
      <c r="G65" s="35">
        <v>0</v>
      </c>
      <c r="H65" s="35">
        <v>859.3</v>
      </c>
      <c r="I65" s="35">
        <v>910.2</v>
      </c>
      <c r="J65" s="35">
        <v>25</v>
      </c>
      <c r="K65" s="34">
        <v>1794.5</v>
      </c>
      <c r="L65" s="34">
        <v>28146.240000000002</v>
      </c>
      <c r="M65" s="34" t="s">
        <v>559</v>
      </c>
      <c r="N65" s="36" t="s">
        <v>19</v>
      </c>
    </row>
    <row r="66" spans="1:14" ht="30" customHeight="1">
      <c r="A66" s="26" t="s">
        <v>176</v>
      </c>
      <c r="B66" s="35" t="s">
        <v>416</v>
      </c>
      <c r="C66" s="35" t="s">
        <v>148</v>
      </c>
      <c r="D66" s="35" t="s">
        <v>417</v>
      </c>
      <c r="E66" s="27">
        <v>38384</v>
      </c>
      <c r="F66" s="34">
        <v>22000</v>
      </c>
      <c r="G66" s="35">
        <v>0</v>
      </c>
      <c r="H66" s="35">
        <v>631.4</v>
      </c>
      <c r="I66" s="35">
        <v>668.8</v>
      </c>
      <c r="J66" s="35">
        <v>25</v>
      </c>
      <c r="K66" s="34">
        <v>1325.2</v>
      </c>
      <c r="L66" s="34">
        <v>20674.8</v>
      </c>
      <c r="M66" s="34" t="s">
        <v>559</v>
      </c>
      <c r="N66" s="36" t="s">
        <v>19</v>
      </c>
    </row>
    <row r="67" spans="1:14" ht="30" customHeight="1">
      <c r="A67" s="26" t="s">
        <v>179</v>
      </c>
      <c r="B67" s="35" t="s">
        <v>418</v>
      </c>
      <c r="C67" s="35" t="s">
        <v>148</v>
      </c>
      <c r="D67" s="35" t="s">
        <v>417</v>
      </c>
      <c r="E67" s="27">
        <v>38869</v>
      </c>
      <c r="F67" s="34">
        <v>22000</v>
      </c>
      <c r="G67" s="35">
        <v>0</v>
      </c>
      <c r="H67" s="35">
        <v>631.4</v>
      </c>
      <c r="I67" s="35">
        <v>668.8</v>
      </c>
      <c r="J67" s="34">
        <v>2125</v>
      </c>
      <c r="K67" s="34">
        <f>+Tabla4[[#This Row],[Seguro 
de Pensión 
(2.87%) 
 (2*)]]+Tabla4[[#This Row],[ISR
(Ley 11-92)
(1*)]]+Tabla4[[#This Row],[Seguro 
de Salud (3.04%)
 (3*)]]+Tabla4[[#This Row],[Otros 
Descuentos]]</f>
        <v>3425.2</v>
      </c>
      <c r="L67" s="34">
        <f>+Tabla4[[#This Row],[Sueldo Bruto
(RD$)]]-Tabla4[[#This Row],[Total 
de 
Descuento]]</f>
        <v>18574.8</v>
      </c>
      <c r="M67" s="34" t="s">
        <v>559</v>
      </c>
      <c r="N67" s="36" t="s">
        <v>19</v>
      </c>
    </row>
    <row r="68" spans="1:14" ht="30" customHeight="1">
      <c r="A68" s="1" t="s">
        <v>182</v>
      </c>
      <c r="B68" s="35" t="s">
        <v>419</v>
      </c>
      <c r="C68" s="35" t="s">
        <v>148</v>
      </c>
      <c r="D68" s="35" t="s">
        <v>417</v>
      </c>
      <c r="E68" s="27">
        <v>40940</v>
      </c>
      <c r="F68" s="34">
        <v>22000</v>
      </c>
      <c r="G68" s="34">
        <v>0</v>
      </c>
      <c r="H68" s="34">
        <v>631.4</v>
      </c>
      <c r="I68" s="34">
        <v>668.8</v>
      </c>
      <c r="J68" s="35">
        <v>25</v>
      </c>
      <c r="K68" s="34">
        <v>1325.2</v>
      </c>
      <c r="L68" s="34">
        <v>20674.8</v>
      </c>
      <c r="M68" s="34" t="s">
        <v>559</v>
      </c>
      <c r="N68" s="36" t="s">
        <v>35</v>
      </c>
    </row>
    <row r="69" spans="1:14" ht="30" customHeight="1">
      <c r="A69" s="26" t="s">
        <v>184</v>
      </c>
      <c r="B69" s="35" t="s">
        <v>420</v>
      </c>
      <c r="C69" s="35" t="s">
        <v>148</v>
      </c>
      <c r="D69" s="35" t="s">
        <v>417</v>
      </c>
      <c r="E69" s="27">
        <v>42386</v>
      </c>
      <c r="F69" s="34">
        <v>22000</v>
      </c>
      <c r="G69" s="34">
        <v>0</v>
      </c>
      <c r="H69" s="34">
        <v>631.4</v>
      </c>
      <c r="I69" s="34">
        <v>668.8</v>
      </c>
      <c r="J69" s="35">
        <v>125</v>
      </c>
      <c r="K69" s="34">
        <v>1425.2</v>
      </c>
      <c r="L69" s="34">
        <v>20574.8</v>
      </c>
      <c r="M69" s="34" t="s">
        <v>559</v>
      </c>
      <c r="N69" s="36" t="s">
        <v>19</v>
      </c>
    </row>
    <row r="70" spans="1:14" ht="30" customHeight="1">
      <c r="A70" s="26" t="s">
        <v>186</v>
      </c>
      <c r="B70" s="35" t="s">
        <v>421</v>
      </c>
      <c r="C70" s="35" t="s">
        <v>148</v>
      </c>
      <c r="D70" s="35" t="s">
        <v>417</v>
      </c>
      <c r="E70" s="27">
        <v>41306</v>
      </c>
      <c r="F70" s="34">
        <v>22000</v>
      </c>
      <c r="G70" s="34">
        <v>0</v>
      </c>
      <c r="H70" s="34">
        <v>631.4</v>
      </c>
      <c r="I70" s="34">
        <v>668.8</v>
      </c>
      <c r="J70" s="35">
        <v>25</v>
      </c>
      <c r="K70" s="34">
        <v>1325.2</v>
      </c>
      <c r="L70" s="34">
        <v>20674.8</v>
      </c>
      <c r="M70" s="34" t="s">
        <v>559</v>
      </c>
      <c r="N70" s="36" t="s">
        <v>19</v>
      </c>
    </row>
    <row r="71" spans="1:14" ht="30" customHeight="1">
      <c r="A71" s="1" t="s">
        <v>188</v>
      </c>
      <c r="B71" s="35" t="s">
        <v>422</v>
      </c>
      <c r="C71" s="35" t="s">
        <v>148</v>
      </c>
      <c r="D71" s="35" t="s">
        <v>417</v>
      </c>
      <c r="E71" s="27">
        <v>41624</v>
      </c>
      <c r="F71" s="34">
        <v>22000</v>
      </c>
      <c r="G71" s="35">
        <v>0</v>
      </c>
      <c r="H71" s="35">
        <v>631.4</v>
      </c>
      <c r="I71" s="35">
        <v>668.8</v>
      </c>
      <c r="J71" s="35">
        <v>25</v>
      </c>
      <c r="K71" s="34">
        <v>1325.2</v>
      </c>
      <c r="L71" s="34">
        <v>20674.8</v>
      </c>
      <c r="M71" s="34" t="s">
        <v>559</v>
      </c>
      <c r="N71" s="36" t="s">
        <v>19</v>
      </c>
    </row>
    <row r="72" spans="1:14" ht="30" customHeight="1">
      <c r="A72" s="26" t="s">
        <v>190</v>
      </c>
      <c r="B72" s="35" t="s">
        <v>423</v>
      </c>
      <c r="C72" s="35" t="s">
        <v>148</v>
      </c>
      <c r="D72" s="35" t="s">
        <v>417</v>
      </c>
      <c r="E72" s="27">
        <v>42401</v>
      </c>
      <c r="F72" s="34">
        <v>22000</v>
      </c>
      <c r="G72" s="35">
        <v>0</v>
      </c>
      <c r="H72" s="35">
        <v>631.4</v>
      </c>
      <c r="I72" s="35">
        <v>668.8</v>
      </c>
      <c r="J72" s="35">
        <v>125</v>
      </c>
      <c r="K72" s="34">
        <v>1425.2</v>
      </c>
      <c r="L72" s="34">
        <v>20574.8</v>
      </c>
      <c r="M72" s="34" t="s">
        <v>559</v>
      </c>
      <c r="N72" s="36" t="s">
        <v>19</v>
      </c>
    </row>
    <row r="73" spans="1:14" ht="30" customHeight="1">
      <c r="A73" s="26" t="s">
        <v>192</v>
      </c>
      <c r="B73" s="35" t="s">
        <v>424</v>
      </c>
      <c r="C73" s="35" t="s">
        <v>148</v>
      </c>
      <c r="D73" s="35" t="s">
        <v>417</v>
      </c>
      <c r="E73" s="27">
        <v>43132</v>
      </c>
      <c r="F73" s="34">
        <v>22000</v>
      </c>
      <c r="G73" s="35">
        <v>0</v>
      </c>
      <c r="H73" s="35">
        <v>631.4</v>
      </c>
      <c r="I73" s="35">
        <v>668.8</v>
      </c>
      <c r="J73" s="35">
        <v>125</v>
      </c>
      <c r="K73" s="34">
        <v>1425.2</v>
      </c>
      <c r="L73" s="34">
        <v>20574.8</v>
      </c>
      <c r="M73" s="34" t="s">
        <v>559</v>
      </c>
      <c r="N73" s="36" t="s">
        <v>19</v>
      </c>
    </row>
    <row r="74" spans="1:14" ht="30" customHeight="1">
      <c r="A74" s="1" t="s">
        <v>195</v>
      </c>
      <c r="B74" s="35" t="s">
        <v>425</v>
      </c>
      <c r="C74" s="35" t="s">
        <v>148</v>
      </c>
      <c r="D74" s="35" t="s">
        <v>417</v>
      </c>
      <c r="E74" s="27">
        <v>43617</v>
      </c>
      <c r="F74" s="34">
        <v>20000</v>
      </c>
      <c r="G74" s="35">
        <v>0</v>
      </c>
      <c r="H74" s="35">
        <f>+Tabla4[[#This Row],[Sueldo Bruto
(RD$)]]*0.0287</f>
        <v>574</v>
      </c>
      <c r="I74" s="35">
        <f>+Tabla4[[#This Row],[Sueldo Bruto
(RD$)]]*0.0304</f>
        <v>608</v>
      </c>
      <c r="J74" s="35">
        <v>125</v>
      </c>
      <c r="K74" s="34">
        <f>+Tabla4[[#This Row],[Seguro 
de Pensión 
(2.87%) 
 (2*)]]+Tabla4[[#This Row],[ISR
(Ley 11-92)
(1*)]]+Tabla4[[#This Row],[Seguro 
de Salud (3.04%)
 (3*)]]+Tabla4[[#This Row],[Otros 
Descuentos]]</f>
        <v>1307</v>
      </c>
      <c r="L74" s="34">
        <f>+Tabla4[[#This Row],[Sueldo Bruto
(RD$)]]-Tabla4[[#This Row],[Total 
de 
Descuento]]</f>
        <v>18693</v>
      </c>
      <c r="M74" s="34" t="s">
        <v>559</v>
      </c>
      <c r="N74" s="36" t="s">
        <v>35</v>
      </c>
    </row>
    <row r="75" spans="1:14" ht="30" customHeight="1">
      <c r="A75" s="26" t="s">
        <v>197</v>
      </c>
      <c r="B75" s="35" t="s">
        <v>426</v>
      </c>
      <c r="C75" s="35" t="s">
        <v>148</v>
      </c>
      <c r="D75" s="35" t="s">
        <v>417</v>
      </c>
      <c r="E75" s="27">
        <v>44459</v>
      </c>
      <c r="F75" s="34">
        <v>15000</v>
      </c>
      <c r="G75" s="35">
        <v>0</v>
      </c>
      <c r="H75" s="35">
        <v>430.5</v>
      </c>
      <c r="I75" s="35">
        <v>456</v>
      </c>
      <c r="J75" s="34">
        <v>1375.12</v>
      </c>
      <c r="K75" s="34">
        <v>2261.62</v>
      </c>
      <c r="L75" s="34">
        <v>12738.38</v>
      </c>
      <c r="M75" s="34" t="s">
        <v>559</v>
      </c>
      <c r="N75" s="36" t="s">
        <v>19</v>
      </c>
    </row>
    <row r="76" spans="1:14" ht="30" customHeight="1">
      <c r="A76" s="26" t="s">
        <v>200</v>
      </c>
      <c r="B76" s="35" t="s">
        <v>427</v>
      </c>
      <c r="C76" s="35" t="s">
        <v>148</v>
      </c>
      <c r="D76" s="35" t="s">
        <v>417</v>
      </c>
      <c r="E76" s="27">
        <v>43845</v>
      </c>
      <c r="F76" s="34">
        <v>15000</v>
      </c>
      <c r="G76" s="35">
        <v>0</v>
      </c>
      <c r="H76" s="35">
        <v>430.5</v>
      </c>
      <c r="I76" s="35">
        <v>456</v>
      </c>
      <c r="J76" s="35">
        <v>25</v>
      </c>
      <c r="K76" s="35">
        <v>911.5</v>
      </c>
      <c r="L76" s="34">
        <v>14088.5</v>
      </c>
      <c r="M76" s="34" t="s">
        <v>559</v>
      </c>
      <c r="N76" s="36" t="s">
        <v>35</v>
      </c>
    </row>
    <row r="77" spans="1:14" ht="30" customHeight="1">
      <c r="A77" s="1" t="s">
        <v>203</v>
      </c>
      <c r="B77" s="35" t="s">
        <v>428</v>
      </c>
      <c r="C77" s="35" t="s">
        <v>148</v>
      </c>
      <c r="D77" s="35" t="s">
        <v>417</v>
      </c>
      <c r="E77" s="27">
        <v>44102</v>
      </c>
      <c r="F77" s="34">
        <v>15000</v>
      </c>
      <c r="G77" s="35">
        <v>0</v>
      </c>
      <c r="H77" s="35">
        <v>430.5</v>
      </c>
      <c r="I77" s="35">
        <v>456</v>
      </c>
      <c r="J77" s="35">
        <v>125</v>
      </c>
      <c r="K77" s="34">
        <v>1011.5</v>
      </c>
      <c r="L77" s="34">
        <v>13988.5</v>
      </c>
      <c r="M77" s="34" t="s">
        <v>559</v>
      </c>
      <c r="N77" s="36" t="s">
        <v>19</v>
      </c>
    </row>
    <row r="78" spans="1:14" ht="30" customHeight="1">
      <c r="A78" s="26" t="s">
        <v>205</v>
      </c>
      <c r="B78" s="35" t="s">
        <v>607</v>
      </c>
      <c r="C78" s="35" t="s">
        <v>148</v>
      </c>
      <c r="D78" s="35" t="s">
        <v>417</v>
      </c>
      <c r="E78" s="27">
        <v>44713</v>
      </c>
      <c r="F78" s="34">
        <v>20000</v>
      </c>
      <c r="G78" s="34">
        <v>0</v>
      </c>
      <c r="H78" s="34">
        <v>574</v>
      </c>
      <c r="I78" s="34">
        <v>608</v>
      </c>
      <c r="J78" s="35">
        <v>25</v>
      </c>
      <c r="K78" s="34">
        <f>+Tabla4[[#This Row],[ISR
(Ley 11-92)
(1*)]]+Tabla4[[#This Row],[Seguro 
de Pensión 
(2.87%) 
 (2*)]]+Tabla4[[#This Row],[Seguro 
de Salud (3.04%)
 (3*)]]+Tabla4[[#This Row],[Otros 
Descuentos]]</f>
        <v>1207</v>
      </c>
      <c r="L78" s="34">
        <f>+Tabla4[[#This Row],[Sueldo Bruto
(RD$)]]-Tabla4[[#This Row],[Total 
de 
Descuento]]</f>
        <v>18793</v>
      </c>
      <c r="M78" s="34" t="s">
        <v>346</v>
      </c>
      <c r="N78" s="36" t="s">
        <v>35</v>
      </c>
    </row>
    <row r="79" spans="1:14" ht="30" customHeight="1">
      <c r="A79" s="26" t="s">
        <v>207</v>
      </c>
      <c r="B79" s="35" t="s">
        <v>429</v>
      </c>
      <c r="C79" s="35" t="s">
        <v>430</v>
      </c>
      <c r="D79" s="35" t="s">
        <v>379</v>
      </c>
      <c r="E79" s="27">
        <v>44208</v>
      </c>
      <c r="F79" s="34">
        <v>30000</v>
      </c>
      <c r="G79" s="35">
        <v>0</v>
      </c>
      <c r="H79" s="35">
        <v>861</v>
      </c>
      <c r="I79" s="35">
        <v>912</v>
      </c>
      <c r="J79" s="34">
        <v>1875.12</v>
      </c>
      <c r="K79" s="34">
        <v>3648.12</v>
      </c>
      <c r="L79" s="34">
        <v>26351.88</v>
      </c>
      <c r="M79" s="34" t="s">
        <v>559</v>
      </c>
      <c r="N79" s="36" t="s">
        <v>35</v>
      </c>
    </row>
    <row r="80" spans="1:14" ht="30" customHeight="1">
      <c r="A80" s="1" t="s">
        <v>209</v>
      </c>
      <c r="B80" s="35" t="s">
        <v>431</v>
      </c>
      <c r="C80" s="35" t="s">
        <v>432</v>
      </c>
      <c r="D80" s="35" t="s">
        <v>433</v>
      </c>
      <c r="E80" s="27">
        <v>40756</v>
      </c>
      <c r="F80" s="34">
        <v>75000</v>
      </c>
      <c r="G80" s="99">
        <v>6309.38</v>
      </c>
      <c r="H80" s="34">
        <v>2152.5</v>
      </c>
      <c r="I80" s="34">
        <v>2280</v>
      </c>
      <c r="J80" s="35">
        <v>25</v>
      </c>
      <c r="K80" s="34">
        <f>+Tabla4[[#This Row],[ISR
(Ley 11-92)
(1*)]]+Tabla4[[#This Row],[Seguro 
de Pensión 
(2.87%) 
 (2*)]]+Tabla4[[#This Row],[Seguro 
de Salud (3.04%)
 (3*)]]+Tabla4[[#This Row],[Otros 
Descuentos]]</f>
        <v>10766.880000000001</v>
      </c>
      <c r="L80" s="34">
        <f>+Tabla4[[#This Row],[Sueldo Bruto
(RD$)]]-Tabla4[[#This Row],[Total 
de 
Descuento]]</f>
        <v>64233.119999999995</v>
      </c>
      <c r="M80" s="34" t="s">
        <v>341</v>
      </c>
      <c r="N80" s="36" t="s">
        <v>35</v>
      </c>
    </row>
    <row r="81" spans="1:14" ht="30" customHeight="1">
      <c r="A81" s="26" t="s">
        <v>211</v>
      </c>
      <c r="B81" s="35" t="s">
        <v>434</v>
      </c>
      <c r="C81" s="35" t="s">
        <v>432</v>
      </c>
      <c r="D81" s="35" t="s">
        <v>165</v>
      </c>
      <c r="E81" s="27">
        <v>38261</v>
      </c>
      <c r="F81" s="34">
        <v>55000</v>
      </c>
      <c r="G81" s="35">
        <v>0</v>
      </c>
      <c r="H81" s="34">
        <v>1578.5</v>
      </c>
      <c r="I81" s="34">
        <v>1672</v>
      </c>
      <c r="J81" s="35">
        <v>25</v>
      </c>
      <c r="K81" s="34">
        <v>3275.5</v>
      </c>
      <c r="L81" s="34">
        <v>51724.5</v>
      </c>
      <c r="M81" s="34" t="s">
        <v>346</v>
      </c>
      <c r="N81" s="36" t="s">
        <v>19</v>
      </c>
    </row>
    <row r="82" spans="1:14" ht="30" customHeight="1">
      <c r="A82" s="26" t="s">
        <v>213</v>
      </c>
      <c r="B82" s="35" t="s">
        <v>435</v>
      </c>
      <c r="C82" s="35" t="s">
        <v>432</v>
      </c>
      <c r="D82" s="35" t="s">
        <v>436</v>
      </c>
      <c r="E82" s="27">
        <v>39845</v>
      </c>
      <c r="F82" s="34">
        <v>1500</v>
      </c>
      <c r="G82" s="35">
        <v>0</v>
      </c>
      <c r="H82" s="34">
        <f>+Tabla4[[#This Row],[Sueldo Bruto
(RD$)]]*0.0287</f>
        <v>43.05</v>
      </c>
      <c r="I82" s="34">
        <f>+Tabla4[[#This Row],[Sueldo Bruto
(RD$)]]*0.0304</f>
        <v>45.6</v>
      </c>
      <c r="J82" s="34">
        <v>25</v>
      </c>
      <c r="K82" s="34">
        <f>+Tabla4[[#This Row],[Seguro 
de Pensión 
(2.87%) 
 (2*)]]+Tabla4[[#This Row],[Seguro 
de Salud (3.04%)
 (3*)]]+Tabla4[[#This Row],[Otros 
Descuentos]]</f>
        <v>113.65</v>
      </c>
      <c r="L82" s="34">
        <f>+Tabla4[[#This Row],[Sueldo Bruto
(RD$)]]-Tabla4[[#This Row],[Total 
de 
Descuento]]</f>
        <v>1386.35</v>
      </c>
      <c r="M82" s="34" t="s">
        <v>341</v>
      </c>
      <c r="N82" s="36" t="s">
        <v>35</v>
      </c>
    </row>
    <row r="83" spans="1:14" ht="30" customHeight="1">
      <c r="A83" s="1" t="s">
        <v>216</v>
      </c>
      <c r="B83" s="35" t="s">
        <v>437</v>
      </c>
      <c r="C83" s="35" t="s">
        <v>432</v>
      </c>
      <c r="D83" s="35" t="s">
        <v>104</v>
      </c>
      <c r="E83" s="27">
        <v>39965</v>
      </c>
      <c r="F83" s="34">
        <v>42000</v>
      </c>
      <c r="G83" s="35">
        <v>0</v>
      </c>
      <c r="H83" s="34">
        <v>1205.4000000000001</v>
      </c>
      <c r="I83" s="34">
        <v>1276.8</v>
      </c>
      <c r="J83" s="34">
        <v>6924.79</v>
      </c>
      <c r="K83" s="34">
        <v>9406.99</v>
      </c>
      <c r="L83" s="34">
        <v>32593.01</v>
      </c>
      <c r="M83" s="34" t="s">
        <v>341</v>
      </c>
      <c r="N83" s="36" t="s">
        <v>35</v>
      </c>
    </row>
    <row r="84" spans="1:14" ht="30" customHeight="1">
      <c r="A84" s="26" t="s">
        <v>218</v>
      </c>
      <c r="B84" s="35" t="s">
        <v>438</v>
      </c>
      <c r="C84" s="35" t="s">
        <v>432</v>
      </c>
      <c r="D84" s="35" t="s">
        <v>379</v>
      </c>
      <c r="E84" s="27">
        <v>44319</v>
      </c>
      <c r="F84" s="34">
        <v>30000</v>
      </c>
      <c r="G84" s="35">
        <v>0</v>
      </c>
      <c r="H84" s="35">
        <v>861</v>
      </c>
      <c r="I84" s="35">
        <v>912</v>
      </c>
      <c r="J84" s="35">
        <v>125</v>
      </c>
      <c r="K84" s="34">
        <v>1898</v>
      </c>
      <c r="L84" s="34">
        <v>28102</v>
      </c>
      <c r="M84" s="34" t="s">
        <v>341</v>
      </c>
      <c r="N84" s="36" t="s">
        <v>19</v>
      </c>
    </row>
    <row r="85" spans="1:14" ht="30" customHeight="1">
      <c r="A85" s="26" t="s">
        <v>220</v>
      </c>
      <c r="B85" s="35" t="s">
        <v>439</v>
      </c>
      <c r="C85" s="35" t="s">
        <v>432</v>
      </c>
      <c r="D85" s="35" t="s">
        <v>440</v>
      </c>
      <c r="E85" s="27">
        <v>36896</v>
      </c>
      <c r="F85" s="34">
        <v>26250</v>
      </c>
      <c r="G85" s="35">
        <v>0</v>
      </c>
      <c r="H85" s="35">
        <v>753.38</v>
      </c>
      <c r="I85" s="35">
        <v>798</v>
      </c>
      <c r="J85" s="34">
        <v>4201.05</v>
      </c>
      <c r="K85" s="34">
        <f>+Tabla4[[#This Row],[Seguro 
de Pensión 
(2.87%) 
 (2*)]]+Tabla4[[#This Row],[Seguro 
de Salud (3.04%)
 (3*)]]+Tabla4[[#This Row],[Otros 
Descuentos]]</f>
        <v>5752.43</v>
      </c>
      <c r="L85" s="34">
        <f>+Tabla4[[#This Row],[Sueldo Bruto
(RD$)]]-Tabla4[[#This Row],[Total 
de 
Descuento]]</f>
        <v>20497.57</v>
      </c>
      <c r="M85" s="34" t="s">
        <v>559</v>
      </c>
      <c r="N85" s="36" t="s">
        <v>35</v>
      </c>
    </row>
    <row r="86" spans="1:14" ht="30" customHeight="1">
      <c r="A86" s="1" t="s">
        <v>222</v>
      </c>
      <c r="B86" s="35" t="s">
        <v>441</v>
      </c>
      <c r="C86" s="35" t="s">
        <v>432</v>
      </c>
      <c r="D86" s="35" t="s">
        <v>440</v>
      </c>
      <c r="E86" s="27">
        <v>38961</v>
      </c>
      <c r="F86" s="34">
        <v>26250</v>
      </c>
      <c r="G86" s="35">
        <v>0</v>
      </c>
      <c r="H86" s="35">
        <v>753.38</v>
      </c>
      <c r="I86" s="35">
        <v>798</v>
      </c>
      <c r="J86" s="35">
        <v>25</v>
      </c>
      <c r="K86" s="34">
        <v>1576.38</v>
      </c>
      <c r="L86" s="34">
        <v>24673.62</v>
      </c>
      <c r="M86" s="34" t="s">
        <v>559</v>
      </c>
      <c r="N86" s="36" t="s">
        <v>35</v>
      </c>
    </row>
    <row r="87" spans="1:14" ht="30" customHeight="1">
      <c r="A87" s="26" t="s">
        <v>224</v>
      </c>
      <c r="B87" s="35" t="s">
        <v>442</v>
      </c>
      <c r="C87" s="35" t="s">
        <v>432</v>
      </c>
      <c r="D87" s="35" t="s">
        <v>440</v>
      </c>
      <c r="E87" s="27">
        <v>43586</v>
      </c>
      <c r="F87" s="34">
        <v>23000</v>
      </c>
      <c r="G87" s="34">
        <v>0</v>
      </c>
      <c r="H87" s="34">
        <v>660.1</v>
      </c>
      <c r="I87" s="34">
        <v>699.2</v>
      </c>
      <c r="J87" s="34">
        <v>8052.37</v>
      </c>
      <c r="K87" s="34">
        <v>9411.67</v>
      </c>
      <c r="L87" s="34">
        <f>+Tabla4[[#This Row],[Sueldo Bruto
(RD$)]]-Tabla4[[#This Row],[Total 
de 
Descuento]]</f>
        <v>13588.33</v>
      </c>
      <c r="M87" s="34" t="s">
        <v>559</v>
      </c>
      <c r="N87" s="36" t="s">
        <v>35</v>
      </c>
    </row>
    <row r="88" spans="1:14" ht="30" customHeight="1">
      <c r="A88" s="26" t="s">
        <v>228</v>
      </c>
      <c r="B88" s="35" t="s">
        <v>443</v>
      </c>
      <c r="C88" s="35" t="s">
        <v>432</v>
      </c>
      <c r="D88" s="35" t="s">
        <v>440</v>
      </c>
      <c r="E88" s="27">
        <v>44305</v>
      </c>
      <c r="F88" s="34">
        <v>21000</v>
      </c>
      <c r="G88" s="34">
        <v>0</v>
      </c>
      <c r="H88" s="34">
        <v>602.70000000000005</v>
      </c>
      <c r="I88" s="34">
        <v>638.4</v>
      </c>
      <c r="J88" s="35">
        <v>25</v>
      </c>
      <c r="K88" s="34">
        <v>1266.0999999999999</v>
      </c>
      <c r="L88" s="34">
        <v>19733.900000000001</v>
      </c>
      <c r="M88" s="34" t="s">
        <v>559</v>
      </c>
      <c r="N88" s="36" t="s">
        <v>35</v>
      </c>
    </row>
    <row r="89" spans="1:14" ht="30" customHeight="1">
      <c r="A89" s="1" t="s">
        <v>230</v>
      </c>
      <c r="B89" s="35" t="s">
        <v>444</v>
      </c>
      <c r="C89" s="35" t="s">
        <v>432</v>
      </c>
      <c r="D89" s="35" t="s">
        <v>440</v>
      </c>
      <c r="E89" s="27">
        <v>44550</v>
      </c>
      <c r="F89" s="34">
        <v>22000</v>
      </c>
      <c r="G89" s="34">
        <v>0</v>
      </c>
      <c r="H89" s="34">
        <v>631.4</v>
      </c>
      <c r="I89" s="34">
        <v>668.8</v>
      </c>
      <c r="J89" s="35">
        <v>25</v>
      </c>
      <c r="K89" s="34">
        <v>1325.2</v>
      </c>
      <c r="L89" s="34">
        <v>20674.8</v>
      </c>
      <c r="M89" s="34" t="s">
        <v>559</v>
      </c>
      <c r="N89" s="36" t="s">
        <v>35</v>
      </c>
    </row>
    <row r="90" spans="1:14" ht="30" customHeight="1">
      <c r="A90" s="26" t="s">
        <v>234</v>
      </c>
      <c r="B90" s="35" t="s">
        <v>445</v>
      </c>
      <c r="C90" s="35" t="s">
        <v>152</v>
      </c>
      <c r="D90" s="35" t="s">
        <v>446</v>
      </c>
      <c r="E90" s="27">
        <v>41276</v>
      </c>
      <c r="F90" s="34">
        <v>110000</v>
      </c>
      <c r="G90" s="34">
        <v>14457.62</v>
      </c>
      <c r="H90" s="34">
        <v>3157</v>
      </c>
      <c r="I90" s="34">
        <v>3344</v>
      </c>
      <c r="J90" s="35">
        <v>25</v>
      </c>
      <c r="K90" s="34">
        <v>20983.62</v>
      </c>
      <c r="L90" s="34">
        <v>89016.38</v>
      </c>
      <c r="M90" s="34" t="s">
        <v>341</v>
      </c>
      <c r="N90" s="36" t="s">
        <v>19</v>
      </c>
    </row>
    <row r="91" spans="1:14" ht="30" customHeight="1">
      <c r="A91" s="26" t="s">
        <v>236</v>
      </c>
      <c r="B91" s="35" t="s">
        <v>622</v>
      </c>
      <c r="C91" s="35" t="s">
        <v>152</v>
      </c>
      <c r="D91" s="35" t="s">
        <v>153</v>
      </c>
      <c r="E91" s="27">
        <v>44743</v>
      </c>
      <c r="F91" s="34">
        <v>65000</v>
      </c>
      <c r="G91" s="34">
        <v>4157.55</v>
      </c>
      <c r="H91" s="34">
        <v>1865.5</v>
      </c>
      <c r="I91" s="34">
        <v>1976</v>
      </c>
      <c r="J91" s="99">
        <v>11375.12</v>
      </c>
      <c r="K91" s="34">
        <f>+Tabla4[[#This Row],[ISR
(Ley 11-92)
(1*)]]+Tabla4[[#This Row],[Seguro 
de Pensión 
(2.87%) 
 (2*)]]+Tabla4[[#This Row],[Seguro 
de Salud (3.04%)
 (3*)]]+Tabla4[[#This Row],[Otros 
Descuentos]]</f>
        <v>19374.170000000002</v>
      </c>
      <c r="L91" s="34">
        <f>+Tabla4[[#This Row],[Sueldo Bruto
(RD$)]]-Tabla4[[#This Row],[Total 
de 
Descuento]]</f>
        <v>45625.83</v>
      </c>
      <c r="M91" s="34" t="s">
        <v>346</v>
      </c>
      <c r="N91" s="36" t="s">
        <v>19</v>
      </c>
    </row>
    <row r="92" spans="1:14" ht="30" customHeight="1">
      <c r="A92" s="1" t="s">
        <v>239</v>
      </c>
      <c r="B92" s="35" t="s">
        <v>447</v>
      </c>
      <c r="C92" s="35" t="s">
        <v>152</v>
      </c>
      <c r="D92" s="35" t="s">
        <v>448</v>
      </c>
      <c r="E92" s="27">
        <v>41715</v>
      </c>
      <c r="F92" s="34">
        <v>65000</v>
      </c>
      <c r="G92" s="34">
        <v>4427.58</v>
      </c>
      <c r="H92" s="34">
        <v>1865.5</v>
      </c>
      <c r="I92" s="34">
        <v>1976</v>
      </c>
      <c r="J92" s="35">
        <v>125</v>
      </c>
      <c r="K92" s="34">
        <v>8394.08</v>
      </c>
      <c r="L92" s="34">
        <v>56605.919999999998</v>
      </c>
      <c r="M92" s="34" t="s">
        <v>341</v>
      </c>
      <c r="N92" s="36" t="s">
        <v>35</v>
      </c>
    </row>
    <row r="93" spans="1:14" ht="30" customHeight="1">
      <c r="A93" s="26" t="s">
        <v>242</v>
      </c>
      <c r="B93" s="35" t="s">
        <v>449</v>
      </c>
      <c r="C93" s="35" t="s">
        <v>226</v>
      </c>
      <c r="D93" s="35" t="s">
        <v>450</v>
      </c>
      <c r="E93" s="27">
        <v>41932</v>
      </c>
      <c r="F93" s="34">
        <v>125000</v>
      </c>
      <c r="G93" s="34">
        <v>17985.990000000002</v>
      </c>
      <c r="H93" s="34">
        <v>3587.5</v>
      </c>
      <c r="I93" s="34">
        <v>3800</v>
      </c>
      <c r="J93" s="34">
        <v>7525</v>
      </c>
      <c r="K93" s="34">
        <v>32898.49</v>
      </c>
      <c r="L93" s="34">
        <v>92101.51</v>
      </c>
      <c r="M93" s="34" t="s">
        <v>341</v>
      </c>
      <c r="N93" s="36" t="s">
        <v>35</v>
      </c>
    </row>
    <row r="94" spans="1:14" ht="30" customHeight="1">
      <c r="A94" s="26" t="s">
        <v>244</v>
      </c>
      <c r="B94" s="35" t="s">
        <v>451</v>
      </c>
      <c r="C94" s="35" t="s">
        <v>226</v>
      </c>
      <c r="D94" s="35" t="s">
        <v>97</v>
      </c>
      <c r="E94" s="27">
        <v>42036</v>
      </c>
      <c r="F94" s="34">
        <v>95000</v>
      </c>
      <c r="G94" s="34">
        <v>10929.24</v>
      </c>
      <c r="H94" s="34">
        <v>2726.5</v>
      </c>
      <c r="I94" s="34">
        <v>2888</v>
      </c>
      <c r="J94" s="34">
        <v>7395.69</v>
      </c>
      <c r="K94" s="34">
        <v>23939.43</v>
      </c>
      <c r="L94" s="34">
        <v>71060.570000000007</v>
      </c>
      <c r="M94" s="34" t="s">
        <v>341</v>
      </c>
      <c r="N94" s="36" t="s">
        <v>35</v>
      </c>
    </row>
    <row r="95" spans="1:14" ht="30" customHeight="1">
      <c r="A95" s="1" t="s">
        <v>246</v>
      </c>
      <c r="B95" s="35" t="s">
        <v>452</v>
      </c>
      <c r="C95" s="35" t="s">
        <v>226</v>
      </c>
      <c r="D95" s="35" t="s">
        <v>94</v>
      </c>
      <c r="E95" s="27">
        <v>43191</v>
      </c>
      <c r="F95" s="34">
        <v>75000</v>
      </c>
      <c r="G95" s="34">
        <v>6309.38</v>
      </c>
      <c r="H95" s="34">
        <v>2152.5</v>
      </c>
      <c r="I95" s="34">
        <v>2280</v>
      </c>
      <c r="J95" s="35">
        <v>25</v>
      </c>
      <c r="K95" s="34">
        <f>+Tabla4[[#This Row],[ISR
(Ley 11-92)
(1*)]]+Tabla4[[#This Row],[Seguro 
de Pensión 
(2.87%) 
 (2*)]]+Tabla4[[#This Row],[Seguro 
de Salud (3.04%)
 (3*)]]+Tabla4[[#This Row],[Otros 
Descuentos]]</f>
        <v>10766.880000000001</v>
      </c>
      <c r="L95" s="34">
        <f>+Tabla4[[#This Row],[Sueldo Bruto
(RD$)]]-Tabla4[[#This Row],[Total 
de 
Descuento]]</f>
        <v>64233.119999999995</v>
      </c>
      <c r="M95" s="34" t="s">
        <v>341</v>
      </c>
      <c r="N95" s="36" t="s">
        <v>19</v>
      </c>
    </row>
    <row r="96" spans="1:14" ht="30" customHeight="1">
      <c r="A96" s="26" t="s">
        <v>248</v>
      </c>
      <c r="B96" s="35" t="s">
        <v>453</v>
      </c>
      <c r="C96" s="35" t="s">
        <v>226</v>
      </c>
      <c r="D96" s="35" t="s">
        <v>94</v>
      </c>
      <c r="E96" s="27">
        <v>43172</v>
      </c>
      <c r="F96" s="34">
        <v>85000</v>
      </c>
      <c r="G96" s="34">
        <v>8576.99</v>
      </c>
      <c r="H96" s="34">
        <v>2439.5</v>
      </c>
      <c r="I96" s="34">
        <v>2584</v>
      </c>
      <c r="J96" s="35">
        <v>25</v>
      </c>
      <c r="K96" s="34">
        <f>+Tabla4[[#This Row],[ISR
(Ley 11-92)
(1*)]]+Tabla4[[#This Row],[Seguro 
de Pensión 
(2.87%) 
 (2*)]]+Tabla4[[#This Row],[Seguro 
de Salud (3.04%)
 (3*)]]+Tabla4[[#This Row],[Otros 
Descuentos]]</f>
        <v>13625.49</v>
      </c>
      <c r="L96" s="34">
        <f>+Tabla4[[#This Row],[Sueldo Bruto
(RD$)]]-Tabla4[[#This Row],[Total 
de 
Descuento]]</f>
        <v>71374.509999999995</v>
      </c>
      <c r="M96" s="34" t="s">
        <v>341</v>
      </c>
      <c r="N96" s="36" t="s">
        <v>19</v>
      </c>
    </row>
    <row r="97" spans="1:14" ht="30" customHeight="1">
      <c r="A97" s="26" t="s">
        <v>250</v>
      </c>
      <c r="B97" s="35" t="s">
        <v>454</v>
      </c>
      <c r="C97" s="35" t="s">
        <v>178</v>
      </c>
      <c r="D97" s="35" t="s">
        <v>455</v>
      </c>
      <c r="E97" s="27">
        <v>40238</v>
      </c>
      <c r="F97" s="34">
        <v>145000</v>
      </c>
      <c r="G97" s="34">
        <v>22690.49</v>
      </c>
      <c r="H97" s="34">
        <v>4161.5</v>
      </c>
      <c r="I97" s="34">
        <v>4408</v>
      </c>
      <c r="J97" s="34">
        <v>5025</v>
      </c>
      <c r="K97" s="34">
        <f>+Tabla4[[#This Row],[ISR
(Ley 11-92)
(1*)]]+Tabla4[[#This Row],[Seguro 
de Pensión 
(2.87%) 
 (2*)]]+Tabla4[[#This Row],[Seguro 
de Salud (3.04%)
 (3*)]]+Tabla4[[#This Row],[Otros 
Descuentos]]</f>
        <v>36284.990000000005</v>
      </c>
      <c r="L97" s="34">
        <f>+Tabla4[[#This Row],[Sueldo Bruto
(RD$)]]-Tabla4[[#This Row],[Total 
de 
Descuento]]</f>
        <v>108715.01</v>
      </c>
      <c r="M97" s="34" t="s">
        <v>346</v>
      </c>
      <c r="N97" s="36" t="s">
        <v>19</v>
      </c>
    </row>
    <row r="98" spans="1:14" ht="30" customHeight="1">
      <c r="A98" s="1" t="s">
        <v>252</v>
      </c>
      <c r="B98" s="35" t="s">
        <v>456</v>
      </c>
      <c r="C98" s="35" t="s">
        <v>178</v>
      </c>
      <c r="D98" s="35" t="s">
        <v>165</v>
      </c>
      <c r="E98" s="27">
        <v>41730</v>
      </c>
      <c r="F98" s="34">
        <v>65000</v>
      </c>
      <c r="G98" s="34">
        <v>4157.55</v>
      </c>
      <c r="H98" s="34">
        <v>1865.5</v>
      </c>
      <c r="I98" s="34">
        <v>1976</v>
      </c>
      <c r="J98" s="34">
        <v>9596.9</v>
      </c>
      <c r="K98" s="34">
        <v>17595.95</v>
      </c>
      <c r="L98" s="34">
        <v>47404.05</v>
      </c>
      <c r="M98" s="34" t="s">
        <v>341</v>
      </c>
      <c r="N98" s="36" t="s">
        <v>19</v>
      </c>
    </row>
    <row r="99" spans="1:14" ht="30" customHeight="1">
      <c r="A99" s="26" t="s">
        <v>254</v>
      </c>
      <c r="B99" s="35" t="s">
        <v>458</v>
      </c>
      <c r="C99" s="35" t="s">
        <v>178</v>
      </c>
      <c r="D99" s="35" t="s">
        <v>459</v>
      </c>
      <c r="E99" s="27">
        <v>44531</v>
      </c>
      <c r="F99" s="34">
        <v>35000</v>
      </c>
      <c r="G99" s="35">
        <v>0</v>
      </c>
      <c r="H99" s="34">
        <v>1004.5</v>
      </c>
      <c r="I99" s="34">
        <v>1064</v>
      </c>
      <c r="J99" s="35">
        <v>25</v>
      </c>
      <c r="K99" s="34">
        <v>2093.5</v>
      </c>
      <c r="L99" s="34">
        <v>32906.5</v>
      </c>
      <c r="M99" s="34" t="s">
        <v>341</v>
      </c>
      <c r="N99" s="36" t="s">
        <v>35</v>
      </c>
    </row>
    <row r="100" spans="1:14" ht="30" customHeight="1">
      <c r="A100" s="26" t="s">
        <v>256</v>
      </c>
      <c r="B100" s="35" t="s">
        <v>461</v>
      </c>
      <c r="C100" s="35" t="s">
        <v>194</v>
      </c>
      <c r="D100" s="35" t="s">
        <v>64</v>
      </c>
      <c r="E100" s="27">
        <v>42689</v>
      </c>
      <c r="F100" s="34">
        <v>125000</v>
      </c>
      <c r="G100" s="34">
        <v>17985.990000000002</v>
      </c>
      <c r="H100" s="34">
        <v>3587.5</v>
      </c>
      <c r="I100" s="34">
        <v>3800</v>
      </c>
      <c r="J100" s="35">
        <v>25</v>
      </c>
      <c r="K100" s="34">
        <v>25398.49</v>
      </c>
      <c r="L100" s="34">
        <v>99601.51</v>
      </c>
      <c r="M100" s="34" t="s">
        <v>341</v>
      </c>
      <c r="N100" s="36" t="s">
        <v>19</v>
      </c>
    </row>
    <row r="101" spans="1:14" ht="30" customHeight="1">
      <c r="A101" s="1" t="s">
        <v>258</v>
      </c>
      <c r="B101" s="35" t="s">
        <v>462</v>
      </c>
      <c r="C101" s="35" t="s">
        <v>194</v>
      </c>
      <c r="D101" s="35" t="s">
        <v>202</v>
      </c>
      <c r="E101" s="27">
        <v>43010</v>
      </c>
      <c r="F101" s="34">
        <v>65000</v>
      </c>
      <c r="G101" s="35">
        <v>0</v>
      </c>
      <c r="H101" s="34">
        <v>1865.5</v>
      </c>
      <c r="I101" s="34">
        <v>1976</v>
      </c>
      <c r="J101" s="35">
        <v>25</v>
      </c>
      <c r="K101" s="34">
        <v>3866.5</v>
      </c>
      <c r="L101" s="34">
        <v>61133.5</v>
      </c>
      <c r="M101" s="34" t="s">
        <v>341</v>
      </c>
      <c r="N101" s="36" t="s">
        <v>35</v>
      </c>
    </row>
    <row r="102" spans="1:14" ht="30" customHeight="1">
      <c r="A102" s="26" t="s">
        <v>260</v>
      </c>
      <c r="B102" s="35" t="s">
        <v>463</v>
      </c>
      <c r="C102" s="35" t="s">
        <v>194</v>
      </c>
      <c r="D102" s="35" t="s">
        <v>202</v>
      </c>
      <c r="E102" s="27">
        <v>42675</v>
      </c>
      <c r="F102" s="34">
        <v>65000</v>
      </c>
      <c r="G102" s="35">
        <v>0</v>
      </c>
      <c r="H102" s="34">
        <v>1865.5</v>
      </c>
      <c r="I102" s="34">
        <v>1976</v>
      </c>
      <c r="J102" s="34">
        <v>2725.24</v>
      </c>
      <c r="K102" s="34">
        <v>6566.74</v>
      </c>
      <c r="L102" s="34">
        <v>58433.26</v>
      </c>
      <c r="M102" s="34" t="s">
        <v>341</v>
      </c>
      <c r="N102" s="36" t="s">
        <v>19</v>
      </c>
    </row>
    <row r="103" spans="1:14" ht="30" customHeight="1">
      <c r="A103" s="26" t="s">
        <v>262</v>
      </c>
      <c r="B103" s="35" t="s">
        <v>464</v>
      </c>
      <c r="C103" s="35" t="s">
        <v>194</v>
      </c>
      <c r="D103" s="35" t="s">
        <v>465</v>
      </c>
      <c r="E103" s="27">
        <v>43017</v>
      </c>
      <c r="F103" s="34">
        <v>42000</v>
      </c>
      <c r="G103" s="35">
        <v>0</v>
      </c>
      <c r="H103" s="34">
        <v>1205.4000000000001</v>
      </c>
      <c r="I103" s="34">
        <v>1276.8</v>
      </c>
      <c r="J103" s="35">
        <v>25</v>
      </c>
      <c r="K103" s="34">
        <v>2507.1999999999998</v>
      </c>
      <c r="L103" s="34">
        <v>39492.800000000003</v>
      </c>
      <c r="M103" s="34" t="s">
        <v>341</v>
      </c>
      <c r="N103" s="36" t="s">
        <v>19</v>
      </c>
    </row>
    <row r="104" spans="1:14" ht="30" customHeight="1">
      <c r="A104" s="1" t="s">
        <v>264</v>
      </c>
      <c r="B104" s="35" t="s">
        <v>466</v>
      </c>
      <c r="C104" s="35" t="s">
        <v>194</v>
      </c>
      <c r="D104" s="35" t="s">
        <v>379</v>
      </c>
      <c r="E104" s="27">
        <v>44305</v>
      </c>
      <c r="F104" s="34">
        <v>30000</v>
      </c>
      <c r="G104" s="35">
        <v>0</v>
      </c>
      <c r="H104" s="35">
        <v>861</v>
      </c>
      <c r="I104" s="35">
        <v>912</v>
      </c>
      <c r="J104" s="34">
        <v>5633.46</v>
      </c>
      <c r="K104" s="34">
        <v>7406.46</v>
      </c>
      <c r="L104" s="34">
        <v>22593.54</v>
      </c>
      <c r="M104" s="34" t="s">
        <v>341</v>
      </c>
      <c r="N104" s="36" t="s">
        <v>19</v>
      </c>
    </row>
    <row r="105" spans="1:14" ht="30" customHeight="1">
      <c r="A105" s="26" t="s">
        <v>267</v>
      </c>
      <c r="B105" s="35" t="s">
        <v>467</v>
      </c>
      <c r="C105" s="35" t="s">
        <v>468</v>
      </c>
      <c r="D105" s="35" t="s">
        <v>17</v>
      </c>
      <c r="E105" s="27">
        <v>43040</v>
      </c>
      <c r="F105" s="34">
        <v>120000</v>
      </c>
      <c r="G105" s="34">
        <v>16809.87</v>
      </c>
      <c r="H105" s="34">
        <v>3444</v>
      </c>
      <c r="I105" s="34">
        <v>3648</v>
      </c>
      <c r="J105" s="35">
        <v>25</v>
      </c>
      <c r="K105" s="34">
        <v>23926.87</v>
      </c>
      <c r="L105" s="34">
        <v>96073.13</v>
      </c>
      <c r="M105" s="34" t="s">
        <v>341</v>
      </c>
      <c r="N105" s="36" t="s">
        <v>35</v>
      </c>
    </row>
    <row r="106" spans="1:14" ht="30" customHeight="1">
      <c r="A106" s="26" t="s">
        <v>269</v>
      </c>
      <c r="B106" s="35" t="s">
        <v>469</v>
      </c>
      <c r="C106" s="35" t="s">
        <v>470</v>
      </c>
      <c r="D106" s="35" t="s">
        <v>471</v>
      </c>
      <c r="E106" s="27">
        <v>42036</v>
      </c>
      <c r="F106" s="34">
        <v>110000</v>
      </c>
      <c r="G106" s="34">
        <v>14457.62</v>
      </c>
      <c r="H106" s="34">
        <v>3157</v>
      </c>
      <c r="I106" s="34">
        <v>3344</v>
      </c>
      <c r="J106" s="34">
        <v>1125</v>
      </c>
      <c r="K106" s="34">
        <v>22083.62</v>
      </c>
      <c r="L106" s="34">
        <v>87916.38</v>
      </c>
      <c r="M106" s="34" t="s">
        <v>341</v>
      </c>
      <c r="N106" s="36" t="s">
        <v>35</v>
      </c>
    </row>
    <row r="107" spans="1:14" ht="30" customHeight="1">
      <c r="A107" s="1" t="s">
        <v>272</v>
      </c>
      <c r="B107" s="35" t="s">
        <v>472</v>
      </c>
      <c r="C107" s="35" t="s">
        <v>470</v>
      </c>
      <c r="D107" s="35" t="s">
        <v>473</v>
      </c>
      <c r="E107" s="27">
        <v>42217</v>
      </c>
      <c r="F107" s="34">
        <v>125000</v>
      </c>
      <c r="G107" s="34">
        <v>17985.990000000002</v>
      </c>
      <c r="H107" s="34">
        <v>3587.5</v>
      </c>
      <c r="I107" s="34">
        <v>3800</v>
      </c>
      <c r="J107" s="35">
        <v>25</v>
      </c>
      <c r="K107" s="34">
        <v>25398.49</v>
      </c>
      <c r="L107" s="34">
        <v>99601.51</v>
      </c>
      <c r="M107" s="34" t="s">
        <v>341</v>
      </c>
      <c r="N107" s="36" t="s">
        <v>35</v>
      </c>
    </row>
    <row r="108" spans="1:14" ht="30" customHeight="1">
      <c r="A108" s="26" t="s">
        <v>274</v>
      </c>
      <c r="B108" s="35" t="s">
        <v>474</v>
      </c>
      <c r="C108" s="35" t="s">
        <v>470</v>
      </c>
      <c r="D108" s="35" t="s">
        <v>67</v>
      </c>
      <c r="E108" s="27">
        <v>43424</v>
      </c>
      <c r="F108" s="34">
        <v>110000</v>
      </c>
      <c r="G108" s="34">
        <v>14457.62</v>
      </c>
      <c r="H108" s="34">
        <v>3157</v>
      </c>
      <c r="I108" s="34">
        <v>3344</v>
      </c>
      <c r="J108" s="35">
        <v>25</v>
      </c>
      <c r="K108" s="34">
        <v>20983.62</v>
      </c>
      <c r="L108" s="34">
        <v>89016.38</v>
      </c>
      <c r="M108" s="34" t="s">
        <v>341</v>
      </c>
      <c r="N108" s="36" t="s">
        <v>35</v>
      </c>
    </row>
    <row r="109" spans="1:14" ht="30" customHeight="1">
      <c r="A109" s="26" t="s">
        <v>276</v>
      </c>
      <c r="B109" s="35" t="s">
        <v>476</v>
      </c>
      <c r="C109" s="35" t="s">
        <v>232</v>
      </c>
      <c r="D109" s="35" t="s">
        <v>477</v>
      </c>
      <c r="E109" s="27">
        <v>39661</v>
      </c>
      <c r="F109" s="34">
        <v>135000</v>
      </c>
      <c r="G109" s="34">
        <v>20338.240000000002</v>
      </c>
      <c r="H109" s="34">
        <v>3874.5</v>
      </c>
      <c r="I109" s="34">
        <v>4104</v>
      </c>
      <c r="J109" s="35">
        <v>25</v>
      </c>
      <c r="K109" s="34">
        <v>28341.74</v>
      </c>
      <c r="L109" s="34">
        <v>106658.26</v>
      </c>
      <c r="M109" s="34" t="s">
        <v>346</v>
      </c>
      <c r="N109" s="36" t="s">
        <v>19</v>
      </c>
    </row>
    <row r="110" spans="1:14" ht="30" customHeight="1">
      <c r="A110" s="1" t="s">
        <v>278</v>
      </c>
      <c r="B110" s="35" t="s">
        <v>478</v>
      </c>
      <c r="C110" s="35" t="s">
        <v>232</v>
      </c>
      <c r="D110" s="35" t="s">
        <v>17</v>
      </c>
      <c r="E110" s="27">
        <v>42767</v>
      </c>
      <c r="F110" s="34">
        <v>85000</v>
      </c>
      <c r="G110" s="34">
        <v>8576.99</v>
      </c>
      <c r="H110" s="34">
        <v>2439.5</v>
      </c>
      <c r="I110" s="34">
        <v>2584</v>
      </c>
      <c r="J110" s="35">
        <v>725</v>
      </c>
      <c r="K110" s="34">
        <v>14325.49</v>
      </c>
      <c r="L110" s="34">
        <v>70674.509999999995</v>
      </c>
      <c r="M110" s="34" t="s">
        <v>341</v>
      </c>
      <c r="N110" s="36" t="s">
        <v>19</v>
      </c>
    </row>
    <row r="111" spans="1:14" ht="30" customHeight="1">
      <c r="A111" s="26" t="s">
        <v>280</v>
      </c>
      <c r="B111" s="35" t="s">
        <v>479</v>
      </c>
      <c r="C111" s="35" t="s">
        <v>232</v>
      </c>
      <c r="D111" s="35" t="s">
        <v>480</v>
      </c>
      <c r="E111" s="27">
        <v>43040</v>
      </c>
      <c r="F111" s="34">
        <v>85000</v>
      </c>
      <c r="G111" s="99">
        <v>8576.99</v>
      </c>
      <c r="H111" s="34">
        <v>2439.5</v>
      </c>
      <c r="I111" s="34">
        <v>2584</v>
      </c>
      <c r="J111" s="34">
        <v>8125</v>
      </c>
      <c r="K111" s="34">
        <f>+Tabla4[[#This Row],[ISR
(Ley 11-92)
(1*)]]+Tabla4[[#This Row],[Seguro 
de Pensión 
(2.87%) 
 (2*)]]+Tabla4[[#This Row],[Seguro 
de Salud (3.04%)
 (3*)]]+Tabla4[[#This Row],[Otros 
Descuentos]]</f>
        <v>21725.489999999998</v>
      </c>
      <c r="L111" s="34">
        <f>+Tabla4[[#This Row],[Sueldo Bruto
(RD$)]]-Tabla4[[#This Row],[Total 
de 
Descuento]]</f>
        <v>63274.51</v>
      </c>
      <c r="M111" s="34" t="s">
        <v>341</v>
      </c>
      <c r="N111" s="36" t="s">
        <v>19</v>
      </c>
    </row>
    <row r="112" spans="1:14" ht="30" customHeight="1">
      <c r="A112" s="26" t="s">
        <v>282</v>
      </c>
      <c r="B112" s="35" t="s">
        <v>481</v>
      </c>
      <c r="C112" s="35" t="s">
        <v>232</v>
      </c>
      <c r="D112" s="35" t="s">
        <v>480</v>
      </c>
      <c r="E112" s="27">
        <v>42036</v>
      </c>
      <c r="F112" s="34">
        <v>70000</v>
      </c>
      <c r="G112" s="34">
        <v>5368.48</v>
      </c>
      <c r="H112" s="34">
        <v>2009</v>
      </c>
      <c r="I112" s="34">
        <v>2128</v>
      </c>
      <c r="J112" s="35">
        <v>125</v>
      </c>
      <c r="K112" s="34">
        <v>9630.48</v>
      </c>
      <c r="L112" s="34">
        <v>60369.52</v>
      </c>
      <c r="M112" s="34" t="s">
        <v>341</v>
      </c>
      <c r="N112" s="36" t="s">
        <v>35</v>
      </c>
    </row>
    <row r="113" spans="1:14" ht="30" customHeight="1">
      <c r="A113" s="1" t="s">
        <v>285</v>
      </c>
      <c r="B113" s="35" t="s">
        <v>482</v>
      </c>
      <c r="C113" s="35" t="s">
        <v>232</v>
      </c>
      <c r="D113" s="35" t="s">
        <v>480</v>
      </c>
      <c r="E113" s="27">
        <v>43252</v>
      </c>
      <c r="F113" s="34">
        <v>70000</v>
      </c>
      <c r="G113" s="34">
        <v>5368.48</v>
      </c>
      <c r="H113" s="34">
        <v>2009</v>
      </c>
      <c r="I113" s="34">
        <v>2128</v>
      </c>
      <c r="J113" s="34">
        <v>2805.78</v>
      </c>
      <c r="K113" s="34">
        <f>+Tabla4[[#This Row],[ISR
(Ley 11-92)
(1*)]]+Tabla4[[#This Row],[Seguro 
de Pensión 
(2.87%) 
 (2*)]]+Tabla4[[#This Row],[Seguro 
de Salud (3.04%)
 (3*)]]+Tabla4[[#This Row],[Otros 
Descuentos]]</f>
        <v>12311.26</v>
      </c>
      <c r="L113" s="34">
        <f>+Tabla4[[#This Row],[Sueldo Bruto
(RD$)]]-Tabla4[[#This Row],[Total 
de 
Descuento]]</f>
        <v>57688.74</v>
      </c>
      <c r="M113" s="34" t="s">
        <v>341</v>
      </c>
      <c r="N113" s="36" t="s">
        <v>19</v>
      </c>
    </row>
    <row r="114" spans="1:14" ht="30" customHeight="1">
      <c r="A114" s="26" t="s">
        <v>287</v>
      </c>
      <c r="B114" s="35" t="s">
        <v>483</v>
      </c>
      <c r="C114" s="35" t="s">
        <v>232</v>
      </c>
      <c r="D114" s="35" t="s">
        <v>480</v>
      </c>
      <c r="E114" s="27">
        <v>43252</v>
      </c>
      <c r="F114" s="34">
        <v>70000</v>
      </c>
      <c r="G114" s="34">
        <v>5368.48</v>
      </c>
      <c r="H114" s="34">
        <v>2009</v>
      </c>
      <c r="I114" s="34">
        <v>2128</v>
      </c>
      <c r="J114" s="35">
        <v>25</v>
      </c>
      <c r="K114" s="34">
        <v>9530.48</v>
      </c>
      <c r="L114" s="34">
        <v>60469.52</v>
      </c>
      <c r="M114" s="34" t="s">
        <v>341</v>
      </c>
      <c r="N114" s="36" t="s">
        <v>19</v>
      </c>
    </row>
    <row r="115" spans="1:14" ht="30" customHeight="1">
      <c r="A115" s="26" t="s">
        <v>289</v>
      </c>
      <c r="B115" s="35" t="s">
        <v>484</v>
      </c>
      <c r="C115" s="35" t="s">
        <v>232</v>
      </c>
      <c r="D115" s="35" t="s">
        <v>480</v>
      </c>
      <c r="E115" s="27">
        <v>43252</v>
      </c>
      <c r="F115" s="34">
        <v>70000</v>
      </c>
      <c r="G115" s="34">
        <v>5368.48</v>
      </c>
      <c r="H115" s="34">
        <v>2009</v>
      </c>
      <c r="I115" s="34">
        <v>2128</v>
      </c>
      <c r="J115" s="34">
        <v>2025</v>
      </c>
      <c r="K115" s="34">
        <v>11530.48</v>
      </c>
      <c r="L115" s="34">
        <v>58469.52</v>
      </c>
      <c r="M115" s="34" t="s">
        <v>341</v>
      </c>
      <c r="N115" s="36" t="s">
        <v>19</v>
      </c>
    </row>
    <row r="116" spans="1:14" ht="30" customHeight="1">
      <c r="A116" s="1" t="s">
        <v>291</v>
      </c>
      <c r="B116" s="35" t="s">
        <v>485</v>
      </c>
      <c r="C116" s="35" t="s">
        <v>232</v>
      </c>
      <c r="D116" s="35" t="s">
        <v>480</v>
      </c>
      <c r="E116" s="27">
        <v>43252</v>
      </c>
      <c r="F116" s="34">
        <v>70000</v>
      </c>
      <c r="G116" s="34">
        <v>5368.48</v>
      </c>
      <c r="H116" s="34">
        <v>2009</v>
      </c>
      <c r="I116" s="34">
        <v>2128</v>
      </c>
      <c r="J116" s="35">
        <v>25</v>
      </c>
      <c r="K116" s="34">
        <v>9530.48</v>
      </c>
      <c r="L116" s="34">
        <v>60469.52</v>
      </c>
      <c r="M116" s="34" t="s">
        <v>341</v>
      </c>
      <c r="N116" s="36" t="s">
        <v>19</v>
      </c>
    </row>
    <row r="117" spans="1:14" ht="30" customHeight="1">
      <c r="A117" s="26" t="s">
        <v>293</v>
      </c>
      <c r="B117" s="35" t="s">
        <v>486</v>
      </c>
      <c r="C117" s="35" t="s">
        <v>232</v>
      </c>
      <c r="D117" s="35" t="s">
        <v>480</v>
      </c>
      <c r="E117" s="28" t="s">
        <v>487</v>
      </c>
      <c r="F117" s="34">
        <v>70000</v>
      </c>
      <c r="G117" s="34">
        <v>5098.45</v>
      </c>
      <c r="H117" s="34">
        <v>2009</v>
      </c>
      <c r="I117" s="34">
        <v>2128</v>
      </c>
      <c r="J117" s="34">
        <v>1375.12</v>
      </c>
      <c r="K117" s="34">
        <v>10610.57</v>
      </c>
      <c r="L117" s="34">
        <v>59389.43</v>
      </c>
      <c r="M117" s="34" t="s">
        <v>341</v>
      </c>
      <c r="N117" s="36" t="s">
        <v>19</v>
      </c>
    </row>
    <row r="118" spans="1:14" ht="30" customHeight="1">
      <c r="A118" s="26" t="s">
        <v>295</v>
      </c>
      <c r="B118" s="35" t="s">
        <v>488</v>
      </c>
      <c r="C118" s="35" t="s">
        <v>232</v>
      </c>
      <c r="D118" s="35" t="s">
        <v>480</v>
      </c>
      <c r="E118" s="27">
        <v>43252</v>
      </c>
      <c r="F118" s="34">
        <v>70000</v>
      </c>
      <c r="G118" s="34">
        <v>5098.45</v>
      </c>
      <c r="H118" s="34">
        <v>2009</v>
      </c>
      <c r="I118" s="34">
        <v>2128</v>
      </c>
      <c r="J118" s="34">
        <v>1375.12</v>
      </c>
      <c r="K118" s="34">
        <v>10610.57</v>
      </c>
      <c r="L118" s="34">
        <v>59389.43</v>
      </c>
      <c r="M118" s="34" t="s">
        <v>341</v>
      </c>
      <c r="N118" s="36" t="s">
        <v>19</v>
      </c>
    </row>
    <row r="119" spans="1:14" ht="30" customHeight="1">
      <c r="A119" s="1" t="s">
        <v>298</v>
      </c>
      <c r="B119" s="35" t="s">
        <v>489</v>
      </c>
      <c r="C119" s="35" t="s">
        <v>232</v>
      </c>
      <c r="D119" s="35" t="s">
        <v>480</v>
      </c>
      <c r="E119" s="27">
        <v>43252</v>
      </c>
      <c r="F119" s="34">
        <v>70000</v>
      </c>
      <c r="G119" s="34">
        <v>5368.48</v>
      </c>
      <c r="H119" s="34">
        <v>2009</v>
      </c>
      <c r="I119" s="34">
        <v>2128</v>
      </c>
      <c r="J119" s="35">
        <v>599.84</v>
      </c>
      <c r="K119" s="34">
        <f>+Tabla4[[#This Row],[ISR
(Ley 11-92)
(1*)]]+Tabla4[[#This Row],[Seguro 
de Pensión 
(2.87%) 
 (2*)]]+Tabla4[[#This Row],[Seguro 
de Salud (3.04%)
 (3*)]]+Tabla4[[#This Row],[Otros 
Descuentos]]</f>
        <v>10105.32</v>
      </c>
      <c r="L119" s="34">
        <f>+Tabla4[[#This Row],[Sueldo Bruto
(RD$)]]-Tabla4[[#This Row],[Total 
de 
Descuento]]</f>
        <v>59894.68</v>
      </c>
      <c r="M119" s="34" t="s">
        <v>341</v>
      </c>
      <c r="N119" s="36" t="s">
        <v>19</v>
      </c>
    </row>
    <row r="120" spans="1:14" ht="30" customHeight="1">
      <c r="A120" s="26" t="s">
        <v>301</v>
      </c>
      <c r="B120" s="35" t="s">
        <v>490</v>
      </c>
      <c r="C120" s="35" t="s">
        <v>232</v>
      </c>
      <c r="D120" s="35" t="s">
        <v>480</v>
      </c>
      <c r="E120" s="27">
        <v>43252</v>
      </c>
      <c r="F120" s="34">
        <v>70000</v>
      </c>
      <c r="G120" s="34">
        <v>5368.48</v>
      </c>
      <c r="H120" s="34">
        <v>2009</v>
      </c>
      <c r="I120" s="34">
        <v>2128</v>
      </c>
      <c r="J120" s="35">
        <v>25</v>
      </c>
      <c r="K120" s="34">
        <v>9530.48</v>
      </c>
      <c r="L120" s="34">
        <v>60469.52</v>
      </c>
      <c r="M120" s="34" t="s">
        <v>341</v>
      </c>
      <c r="N120" s="36" t="s">
        <v>19</v>
      </c>
    </row>
    <row r="121" spans="1:14" ht="30" customHeight="1">
      <c r="A121" s="26" t="s">
        <v>303</v>
      </c>
      <c r="B121" s="35" t="s">
        <v>491</v>
      </c>
      <c r="C121" s="35" t="s">
        <v>232</v>
      </c>
      <c r="D121" s="35" t="s">
        <v>480</v>
      </c>
      <c r="E121" s="27">
        <v>42036</v>
      </c>
      <c r="F121" s="34">
        <v>70000</v>
      </c>
      <c r="G121" s="34">
        <v>5368.48</v>
      </c>
      <c r="H121" s="34">
        <v>2009</v>
      </c>
      <c r="I121" s="34">
        <v>2128</v>
      </c>
      <c r="J121" s="34">
        <v>4121.58</v>
      </c>
      <c r="K121" s="34">
        <f>+Tabla4[[#This Row],[ISR
(Ley 11-92)
(1*)]]+Tabla4[[#This Row],[Seguro 
de Pensión 
(2.87%) 
 (2*)]]+Tabla4[[#This Row],[Seguro 
de Salud (3.04%)
 (3*)]]+Tabla4[[#This Row],[Otros 
Descuentos]]</f>
        <v>13627.06</v>
      </c>
      <c r="L121" s="34">
        <f>+Tabla4[[#This Row],[Sueldo Bruto
(RD$)]]-Tabla4[[#This Row],[Total 
de 
Descuento]]</f>
        <v>56372.94</v>
      </c>
      <c r="M121" s="34" t="s">
        <v>341</v>
      </c>
      <c r="N121" s="36" t="s">
        <v>35</v>
      </c>
    </row>
    <row r="122" spans="1:14" ht="30" customHeight="1">
      <c r="A122" s="1" t="s">
        <v>305</v>
      </c>
      <c r="B122" s="35" t="s">
        <v>492</v>
      </c>
      <c r="C122" s="35" t="s">
        <v>232</v>
      </c>
      <c r="D122" s="35" t="s">
        <v>355</v>
      </c>
      <c r="E122" s="27">
        <v>41852</v>
      </c>
      <c r="F122" s="34">
        <v>40000</v>
      </c>
      <c r="G122" s="35">
        <v>442.65</v>
      </c>
      <c r="H122" s="34">
        <v>1148</v>
      </c>
      <c r="I122" s="34">
        <v>1216</v>
      </c>
      <c r="J122" s="35">
        <v>25</v>
      </c>
      <c r="K122" s="34">
        <v>2831.65</v>
      </c>
      <c r="L122" s="34">
        <v>37168.35</v>
      </c>
      <c r="M122" s="34" t="s">
        <v>559</v>
      </c>
      <c r="N122" s="36" t="s">
        <v>19</v>
      </c>
    </row>
    <row r="123" spans="1:14" ht="30" customHeight="1">
      <c r="A123" s="26" t="s">
        <v>307</v>
      </c>
      <c r="B123" s="35" t="s">
        <v>493</v>
      </c>
      <c r="C123" s="35" t="s">
        <v>238</v>
      </c>
      <c r="D123" s="35" t="s">
        <v>494</v>
      </c>
      <c r="E123" s="27">
        <v>39554</v>
      </c>
      <c r="F123" s="34">
        <v>135000</v>
      </c>
      <c r="G123" s="34">
        <v>20338.240000000002</v>
      </c>
      <c r="H123" s="34">
        <v>3874.5</v>
      </c>
      <c r="I123" s="34">
        <v>4104</v>
      </c>
      <c r="J123" s="34">
        <v>11883.56</v>
      </c>
      <c r="K123" s="34">
        <f>+Tabla4[[#This Row],[ISR
(Ley 11-92)
(1*)]]+Tabla4[[#This Row],[Seguro 
de Pensión 
(2.87%) 
 (2*)]]+Tabla4[[#This Row],[Seguro 
de Salud (3.04%)
 (3*)]]+Tabla4[[#This Row],[Otros 
Descuentos]]</f>
        <v>40200.300000000003</v>
      </c>
      <c r="L123" s="34">
        <f>+Tabla4[[#This Row],[Sueldo Bruto
(RD$)]]-Tabla4[[#This Row],[Total 
de 
Descuento]]</f>
        <v>94799.7</v>
      </c>
      <c r="M123" s="34" t="s">
        <v>346</v>
      </c>
      <c r="N123" s="36" t="s">
        <v>19</v>
      </c>
    </row>
    <row r="124" spans="1:14" ht="30" customHeight="1">
      <c r="A124" s="26" t="s">
        <v>309</v>
      </c>
      <c r="B124" s="35" t="s">
        <v>495</v>
      </c>
      <c r="C124" s="35" t="s">
        <v>238</v>
      </c>
      <c r="D124" s="35" t="s">
        <v>17</v>
      </c>
      <c r="E124" s="27">
        <v>39692</v>
      </c>
      <c r="F124" s="34">
        <v>90000</v>
      </c>
      <c r="G124" s="34">
        <v>9753.1200000000008</v>
      </c>
      <c r="H124" s="34">
        <v>2583</v>
      </c>
      <c r="I124" s="34">
        <v>2736</v>
      </c>
      <c r="J124" s="34">
        <v>2525</v>
      </c>
      <c r="K124" s="34">
        <v>17597.12</v>
      </c>
      <c r="L124" s="34">
        <v>72402.880000000005</v>
      </c>
      <c r="M124" s="34" t="s">
        <v>341</v>
      </c>
      <c r="N124" s="36" t="s">
        <v>19</v>
      </c>
    </row>
    <row r="125" spans="1:14" ht="30" customHeight="1">
      <c r="A125" s="1" t="s">
        <v>311</v>
      </c>
      <c r="B125" s="35" t="s">
        <v>496</v>
      </c>
      <c r="C125" s="35" t="s">
        <v>238</v>
      </c>
      <c r="D125" s="35" t="s">
        <v>165</v>
      </c>
      <c r="E125" s="27">
        <v>40294</v>
      </c>
      <c r="F125" s="34">
        <v>65000</v>
      </c>
      <c r="G125" s="99">
        <v>4157.55</v>
      </c>
      <c r="H125" s="34">
        <v>1865.5</v>
      </c>
      <c r="I125" s="34">
        <v>1976</v>
      </c>
      <c r="J125" s="34">
        <v>1375.12</v>
      </c>
      <c r="K125" s="34">
        <f>+Tabla4[[#This Row],[ISR
(Ley 11-92)
(1*)]]+Tabla4[[#This Row],[Seguro 
de Pensión 
(2.87%) 
 (2*)]]+Tabla4[[#This Row],[Seguro 
de Salud (3.04%)
 (3*)]]+Tabla4[[#This Row],[Otros 
Descuentos]]</f>
        <v>9374.17</v>
      </c>
      <c r="L125" s="34">
        <f>+Tabla4[[#This Row],[Sueldo Bruto
(RD$)]]-Tabla4[[#This Row],[Total 
de 
Descuento]]</f>
        <v>55625.83</v>
      </c>
      <c r="M125" s="34" t="s">
        <v>346</v>
      </c>
      <c r="N125" s="36" t="s">
        <v>19</v>
      </c>
    </row>
    <row r="126" spans="1:14" ht="30" customHeight="1">
      <c r="A126" s="26" t="s">
        <v>530</v>
      </c>
      <c r="B126" s="35" t="s">
        <v>497</v>
      </c>
      <c r="C126" s="35" t="s">
        <v>263</v>
      </c>
      <c r="D126" s="35" t="s">
        <v>498</v>
      </c>
      <c r="E126" s="27">
        <v>41205</v>
      </c>
      <c r="F126" s="34">
        <v>145000</v>
      </c>
      <c r="G126" s="34">
        <v>22690.49</v>
      </c>
      <c r="H126" s="34">
        <v>4161.5</v>
      </c>
      <c r="I126" s="34">
        <v>4408</v>
      </c>
      <c r="J126" s="35">
        <v>25</v>
      </c>
      <c r="K126" s="34">
        <f>+Tabla4[[#This Row],[ISR
(Ley 11-92)
(1*)]]+Tabla4[[#This Row],[Seguro 
de Pensión 
(2.87%) 
 (2*)]]+Tabla4[[#This Row],[Seguro 
de Salud (3.04%)
 (3*)]]+Tabla4[[#This Row],[Otros 
Descuentos]]</f>
        <v>31284.99</v>
      </c>
      <c r="L126" s="34">
        <f>+Tabla4[[#This Row],[Sueldo Bruto
(RD$)]]-Tabla4[[#This Row],[Total 
de 
Descuento]]</f>
        <v>113715.01</v>
      </c>
      <c r="M126" s="34" t="s">
        <v>346</v>
      </c>
      <c r="N126" s="36" t="s">
        <v>19</v>
      </c>
    </row>
    <row r="127" spans="1:14" ht="30" customHeight="1">
      <c r="A127" s="26" t="s">
        <v>531</v>
      </c>
      <c r="B127" s="35" t="s">
        <v>499</v>
      </c>
      <c r="C127" s="35" t="s">
        <v>263</v>
      </c>
      <c r="D127" s="35" t="s">
        <v>165</v>
      </c>
      <c r="E127" s="27">
        <v>41426</v>
      </c>
      <c r="F127" s="34">
        <v>65000</v>
      </c>
      <c r="G127" s="99">
        <v>3740.67</v>
      </c>
      <c r="H127" s="34">
        <v>1865.5</v>
      </c>
      <c r="I127" s="34">
        <v>1976</v>
      </c>
      <c r="J127" s="34">
        <v>2218.17</v>
      </c>
      <c r="K127" s="34">
        <f>+Tabla4[[#This Row],[ISR
(Ley 11-92)
(1*)]]+Tabla4[[#This Row],[Seguro 
de Pensión 
(2.87%) 
 (2*)]]+Tabla4[[#This Row],[Seguro 
de Salud (3.04%)
 (3*)]]+Tabla4[[#This Row],[Otros 
Descuentos]]</f>
        <v>9800.34</v>
      </c>
      <c r="L127" s="34">
        <f>+Tabla4[[#This Row],[Sueldo Bruto
(RD$)]]-Tabla4[[#This Row],[Total 
de 
Descuento]]</f>
        <v>55199.66</v>
      </c>
      <c r="M127" s="34" t="s">
        <v>346</v>
      </c>
      <c r="N127" s="36" t="s">
        <v>19</v>
      </c>
    </row>
    <row r="128" spans="1:14" ht="30" customHeight="1">
      <c r="A128" s="1" t="s">
        <v>532</v>
      </c>
      <c r="B128" s="35" t="s">
        <v>500</v>
      </c>
      <c r="C128" s="35" t="s">
        <v>263</v>
      </c>
      <c r="D128" s="35" t="s">
        <v>160</v>
      </c>
      <c r="E128" s="31">
        <v>38384</v>
      </c>
      <c r="F128" s="34">
        <v>60000</v>
      </c>
      <c r="G128" s="34">
        <v>3216.65</v>
      </c>
      <c r="H128" s="34">
        <v>1722</v>
      </c>
      <c r="I128" s="34">
        <v>1824</v>
      </c>
      <c r="J128" s="34">
        <v>1375.12</v>
      </c>
      <c r="K128" s="34">
        <v>8137.77</v>
      </c>
      <c r="L128" s="34">
        <v>51862.23</v>
      </c>
      <c r="M128" s="34" t="s">
        <v>341</v>
      </c>
      <c r="N128" s="36" t="s">
        <v>35</v>
      </c>
    </row>
    <row r="129" spans="1:14" ht="30" customHeight="1">
      <c r="A129" s="26" t="s">
        <v>533</v>
      </c>
      <c r="B129" s="35" t="s">
        <v>501</v>
      </c>
      <c r="C129" s="35" t="s">
        <v>263</v>
      </c>
      <c r="D129" s="35" t="s">
        <v>165</v>
      </c>
      <c r="E129" s="27">
        <v>39661</v>
      </c>
      <c r="F129" s="34">
        <v>80000</v>
      </c>
      <c r="G129" s="34">
        <v>7400.87</v>
      </c>
      <c r="H129" s="34">
        <v>2296</v>
      </c>
      <c r="I129" s="34">
        <v>2432</v>
      </c>
      <c r="J129" s="35">
        <v>25</v>
      </c>
      <c r="K129" s="34">
        <v>12153.87</v>
      </c>
      <c r="L129" s="34">
        <v>67846.13</v>
      </c>
      <c r="M129" s="34" t="s">
        <v>346</v>
      </c>
      <c r="N129" s="36" t="s">
        <v>19</v>
      </c>
    </row>
    <row r="130" spans="1:14" ht="30" customHeight="1">
      <c r="A130" s="26" t="s">
        <v>534</v>
      </c>
      <c r="B130" s="35" t="s">
        <v>502</v>
      </c>
      <c r="C130" s="35" t="s">
        <v>263</v>
      </c>
      <c r="D130" s="35" t="s">
        <v>284</v>
      </c>
      <c r="E130" s="27">
        <v>43040</v>
      </c>
      <c r="F130" s="34">
        <v>42000</v>
      </c>
      <c r="G130" s="35">
        <v>0</v>
      </c>
      <c r="H130" s="34">
        <v>1205.4000000000001</v>
      </c>
      <c r="I130" s="34">
        <v>1276.8</v>
      </c>
      <c r="J130" s="35">
        <v>25</v>
      </c>
      <c r="K130" s="34">
        <v>2507.1999999999998</v>
      </c>
      <c r="L130" s="34">
        <v>39492.800000000003</v>
      </c>
      <c r="M130" s="34" t="s">
        <v>341</v>
      </c>
      <c r="N130" s="36" t="s">
        <v>35</v>
      </c>
    </row>
    <row r="131" spans="1:14" ht="30" customHeight="1">
      <c r="A131" s="1" t="s">
        <v>535</v>
      </c>
      <c r="B131" s="35" t="s">
        <v>503</v>
      </c>
      <c r="C131" s="35" t="s">
        <v>263</v>
      </c>
      <c r="D131" s="35" t="s">
        <v>284</v>
      </c>
      <c r="E131" s="27">
        <v>41426</v>
      </c>
      <c r="F131" s="34">
        <v>42000</v>
      </c>
      <c r="G131" s="35">
        <v>0</v>
      </c>
      <c r="H131" s="34">
        <v>1205.4000000000001</v>
      </c>
      <c r="I131" s="34">
        <v>1276.8</v>
      </c>
      <c r="J131" s="35">
        <v>25</v>
      </c>
      <c r="K131" s="34">
        <v>2507.1999999999998</v>
      </c>
      <c r="L131" s="34">
        <v>39492.800000000003</v>
      </c>
      <c r="M131" s="34" t="s">
        <v>341</v>
      </c>
      <c r="N131" s="36" t="s">
        <v>19</v>
      </c>
    </row>
    <row r="132" spans="1:14" ht="30" customHeight="1">
      <c r="A132" s="26" t="s">
        <v>536</v>
      </c>
      <c r="B132" s="35" t="s">
        <v>504</v>
      </c>
      <c r="C132" s="35" t="s">
        <v>263</v>
      </c>
      <c r="D132" s="35" t="s">
        <v>284</v>
      </c>
      <c r="E132" s="27">
        <v>40057</v>
      </c>
      <c r="F132" s="34">
        <v>60000</v>
      </c>
      <c r="G132" s="35">
        <v>0</v>
      </c>
      <c r="H132" s="34">
        <v>1722</v>
      </c>
      <c r="I132" s="34">
        <v>1824</v>
      </c>
      <c r="J132" s="34">
        <v>1375.12</v>
      </c>
      <c r="K132" s="34">
        <v>4921.12</v>
      </c>
      <c r="L132" s="34">
        <v>55078.879999999997</v>
      </c>
      <c r="M132" s="34" t="s">
        <v>346</v>
      </c>
      <c r="N132" s="36" t="s">
        <v>35</v>
      </c>
    </row>
    <row r="133" spans="1:14" ht="30" customHeight="1">
      <c r="A133" s="26" t="s">
        <v>537</v>
      </c>
      <c r="B133" s="35" t="s">
        <v>505</v>
      </c>
      <c r="C133" s="35" t="s">
        <v>263</v>
      </c>
      <c r="D133" s="35" t="s">
        <v>506</v>
      </c>
      <c r="E133" s="27">
        <v>42826</v>
      </c>
      <c r="F133" s="34">
        <v>31500</v>
      </c>
      <c r="G133" s="35">
        <v>0</v>
      </c>
      <c r="H133" s="35">
        <v>904.05</v>
      </c>
      <c r="I133" s="35">
        <v>957.6</v>
      </c>
      <c r="J133" s="35">
        <v>525</v>
      </c>
      <c r="K133" s="34">
        <v>2386.65</v>
      </c>
      <c r="L133" s="34">
        <v>29113.35</v>
      </c>
      <c r="M133" s="34" t="s">
        <v>341</v>
      </c>
      <c r="N133" s="36" t="s">
        <v>19</v>
      </c>
    </row>
    <row r="134" spans="1:14" ht="30" customHeight="1">
      <c r="A134" s="1" t="s">
        <v>538</v>
      </c>
      <c r="B134" s="35" t="s">
        <v>507</v>
      </c>
      <c r="C134" s="35" t="s">
        <v>159</v>
      </c>
      <c r="D134" s="35" t="s">
        <v>508</v>
      </c>
      <c r="E134" s="27">
        <v>42036</v>
      </c>
      <c r="F134" s="34">
        <v>125000</v>
      </c>
      <c r="G134" s="34">
        <v>17985.990000000002</v>
      </c>
      <c r="H134" s="34">
        <v>3587.5</v>
      </c>
      <c r="I134" s="34">
        <v>3800</v>
      </c>
      <c r="J134" s="35">
        <v>25</v>
      </c>
      <c r="K134" s="34">
        <v>25398.49</v>
      </c>
      <c r="L134" s="34">
        <v>99601.51</v>
      </c>
      <c r="M134" s="34" t="s">
        <v>346</v>
      </c>
      <c r="N134" s="36" t="s">
        <v>35</v>
      </c>
    </row>
    <row r="135" spans="1:14" ht="30" customHeight="1">
      <c r="A135" s="26" t="s">
        <v>539</v>
      </c>
      <c r="B135" s="35" t="s">
        <v>509</v>
      </c>
      <c r="C135" s="35" t="s">
        <v>159</v>
      </c>
      <c r="D135" s="35" t="s">
        <v>165</v>
      </c>
      <c r="E135" s="27">
        <v>41290</v>
      </c>
      <c r="F135" s="34">
        <v>65000</v>
      </c>
      <c r="G135" s="99">
        <v>4427.58</v>
      </c>
      <c r="H135" s="34">
        <v>1865.5</v>
      </c>
      <c r="I135" s="34">
        <v>1976</v>
      </c>
      <c r="J135" s="35">
        <v>125</v>
      </c>
      <c r="K135" s="34">
        <f>+Tabla4[[#This Row],[ISR
(Ley 11-92)
(1*)]]+Tabla4[[#This Row],[Seguro 
de Pensión 
(2.87%) 
 (2*)]]+Tabla4[[#This Row],[Seguro 
de Salud (3.04%)
 (3*)]]+Tabla4[[#This Row],[Otros 
Descuentos]]</f>
        <v>8394.08</v>
      </c>
      <c r="L135" s="34">
        <f>+Tabla4[[#This Row],[Sueldo Bruto
(RD$)]]-Tabla4[[#This Row],[Total 
de 
Descuento]]</f>
        <v>56605.919999999998</v>
      </c>
      <c r="M135" s="34" t="s">
        <v>341</v>
      </c>
      <c r="N135" s="36" t="s">
        <v>19</v>
      </c>
    </row>
    <row r="136" spans="1:14" ht="30" customHeight="1">
      <c r="A136" s="26" t="s">
        <v>540</v>
      </c>
      <c r="B136" s="35" t="s">
        <v>510</v>
      </c>
      <c r="C136" s="35" t="s">
        <v>159</v>
      </c>
      <c r="D136" s="35" t="s">
        <v>165</v>
      </c>
      <c r="E136" s="27">
        <v>41306</v>
      </c>
      <c r="F136" s="34">
        <v>65000</v>
      </c>
      <c r="G136" s="34">
        <v>4427.58</v>
      </c>
      <c r="H136" s="34">
        <v>1865.5</v>
      </c>
      <c r="I136" s="34">
        <v>1976</v>
      </c>
      <c r="J136" s="35">
        <v>25</v>
      </c>
      <c r="K136" s="34">
        <v>8294.08</v>
      </c>
      <c r="L136" s="34">
        <v>56705.919999999998</v>
      </c>
      <c r="M136" s="34" t="s">
        <v>341</v>
      </c>
      <c r="N136" s="36" t="s">
        <v>19</v>
      </c>
    </row>
    <row r="137" spans="1:14" ht="30" customHeight="1">
      <c r="A137" s="1" t="s">
        <v>541</v>
      </c>
      <c r="B137" s="35" t="s">
        <v>511</v>
      </c>
      <c r="C137" s="35" t="s">
        <v>159</v>
      </c>
      <c r="D137" s="35" t="s">
        <v>160</v>
      </c>
      <c r="E137" s="27">
        <v>42248</v>
      </c>
      <c r="F137" s="34">
        <v>65000</v>
      </c>
      <c r="G137" s="34">
        <v>3384.81</v>
      </c>
      <c r="H137" s="34">
        <v>1865.5</v>
      </c>
      <c r="I137" s="34">
        <v>1976</v>
      </c>
      <c r="J137" s="35">
        <v>25</v>
      </c>
      <c r="K137" s="34">
        <f>+Tabla4[[#This Row],[ISR
(Ley 11-92)
(1*)]]+Tabla4[[#This Row],[Seguro 
de Pensión 
(2.87%) 
 (2*)]]+Tabla4[[#This Row],[Seguro 
de Salud (3.04%)
 (3*)]]+Tabla4[[#This Row],[Otros 
Descuentos]]</f>
        <v>7251.3099999999995</v>
      </c>
      <c r="L137" s="34">
        <f>+Tabla4[[#This Row],[Sueldo Bruto
(RD$)]]-Tabla4[[#This Row],[Total 
de 
Descuento]]</f>
        <v>57748.69</v>
      </c>
      <c r="M137" s="34" t="s">
        <v>341</v>
      </c>
      <c r="N137" s="36" t="s">
        <v>35</v>
      </c>
    </row>
    <row r="138" spans="1:14" ht="30" customHeight="1">
      <c r="A138" s="26" t="s">
        <v>542</v>
      </c>
      <c r="B138" s="35" t="s">
        <v>512</v>
      </c>
      <c r="C138" s="35" t="s">
        <v>159</v>
      </c>
      <c r="D138" s="35" t="s">
        <v>350</v>
      </c>
      <c r="E138" s="27">
        <v>41306</v>
      </c>
      <c r="F138" s="34">
        <v>45000</v>
      </c>
      <c r="G138" s="34">
        <v>0</v>
      </c>
      <c r="H138" s="34">
        <v>1291.5</v>
      </c>
      <c r="I138" s="34">
        <v>1368</v>
      </c>
      <c r="J138" s="34">
        <v>2875.12</v>
      </c>
      <c r="K138" s="34">
        <v>5534.62</v>
      </c>
      <c r="L138" s="34">
        <v>39465.379999999997</v>
      </c>
      <c r="M138" s="34" t="s">
        <v>341</v>
      </c>
      <c r="N138" s="36" t="s">
        <v>19</v>
      </c>
    </row>
    <row r="139" spans="1:14" ht="30" customHeight="1">
      <c r="A139" s="26" t="s">
        <v>543</v>
      </c>
      <c r="B139" s="35" t="s">
        <v>513</v>
      </c>
      <c r="C139" s="35" t="s">
        <v>159</v>
      </c>
      <c r="D139" s="35" t="s">
        <v>170</v>
      </c>
      <c r="E139" s="27">
        <v>42988</v>
      </c>
      <c r="F139" s="34">
        <v>42000</v>
      </c>
      <c r="G139" s="34">
        <v>0</v>
      </c>
      <c r="H139" s="34">
        <v>1205.4000000000001</v>
      </c>
      <c r="I139" s="34">
        <v>1276.8</v>
      </c>
      <c r="J139" s="35">
        <v>125</v>
      </c>
      <c r="K139" s="34">
        <v>2607.1999999999998</v>
      </c>
      <c r="L139" s="34">
        <v>39392.800000000003</v>
      </c>
      <c r="M139" s="34" t="s">
        <v>341</v>
      </c>
      <c r="N139" s="36" t="s">
        <v>19</v>
      </c>
    </row>
    <row r="140" spans="1:14" ht="30" customHeight="1">
      <c r="A140" s="1" t="s">
        <v>544</v>
      </c>
      <c r="B140" s="35" t="s">
        <v>514</v>
      </c>
      <c r="C140" s="35" t="s">
        <v>159</v>
      </c>
      <c r="D140" s="35" t="s">
        <v>175</v>
      </c>
      <c r="E140" s="27">
        <v>42309</v>
      </c>
      <c r="F140" s="34">
        <v>42000</v>
      </c>
      <c r="G140" s="34">
        <v>0</v>
      </c>
      <c r="H140" s="34">
        <v>1205.4000000000001</v>
      </c>
      <c r="I140" s="34">
        <v>1276.8</v>
      </c>
      <c r="J140" s="35">
        <v>25</v>
      </c>
      <c r="K140" s="34">
        <v>2507.1999999999998</v>
      </c>
      <c r="L140" s="34">
        <v>39492.800000000003</v>
      </c>
      <c r="M140" s="34" t="s">
        <v>341</v>
      </c>
      <c r="N140" s="36" t="s">
        <v>35</v>
      </c>
    </row>
    <row r="141" spans="1:14" ht="30" customHeight="1">
      <c r="A141" s="26" t="s">
        <v>545</v>
      </c>
      <c r="B141" s="35" t="s">
        <v>515</v>
      </c>
      <c r="C141" s="35" t="s">
        <v>159</v>
      </c>
      <c r="D141" s="35" t="s">
        <v>170</v>
      </c>
      <c r="E141" s="27">
        <v>41365</v>
      </c>
      <c r="F141" s="34">
        <v>42000</v>
      </c>
      <c r="G141" s="34">
        <v>0</v>
      </c>
      <c r="H141" s="34">
        <v>1205.4000000000001</v>
      </c>
      <c r="I141" s="34">
        <v>1276.8</v>
      </c>
      <c r="J141" s="34">
        <v>2725.24</v>
      </c>
      <c r="K141" s="34">
        <v>5207.4399999999996</v>
      </c>
      <c r="L141" s="34">
        <v>36792.559999999998</v>
      </c>
      <c r="M141" s="34" t="s">
        <v>341</v>
      </c>
      <c r="N141" s="36" t="s">
        <v>35</v>
      </c>
    </row>
    <row r="142" spans="1:14" ht="30" customHeight="1">
      <c r="A142" s="26" t="s">
        <v>546</v>
      </c>
      <c r="B142" s="35" t="s">
        <v>516</v>
      </c>
      <c r="C142" s="35" t="s">
        <v>297</v>
      </c>
      <c r="D142" s="35" t="s">
        <v>517</v>
      </c>
      <c r="E142" s="27">
        <v>42309</v>
      </c>
      <c r="F142" s="34">
        <v>75000</v>
      </c>
      <c r="G142" s="34">
        <v>6039.35</v>
      </c>
      <c r="H142" s="34">
        <v>2152.5</v>
      </c>
      <c r="I142" s="34">
        <v>2280</v>
      </c>
      <c r="J142" s="34">
        <v>11268.31</v>
      </c>
      <c r="K142" s="34">
        <f>+Tabla4[[#This Row],[ISR
(Ley 11-92)
(1*)]]+Tabla4[[#This Row],[Seguro 
de Pensión 
(2.87%) 
 (2*)]]+Tabla4[[#This Row],[Seguro 
de Salud (3.04%)
 (3*)]]+Tabla4[[#This Row],[Otros 
Descuentos]]</f>
        <v>21740.16</v>
      </c>
      <c r="L142" s="34">
        <f>+Tabla4[[#This Row],[Sueldo Bruto
(RD$)]]-Tabla4[[#This Row],[Total 
de 
Descuento]]</f>
        <v>53259.839999999997</v>
      </c>
      <c r="M142" s="34" t="s">
        <v>346</v>
      </c>
      <c r="N142" s="36" t="s">
        <v>19</v>
      </c>
    </row>
    <row r="143" spans="1:14" s="104" customFormat="1" ht="30" customHeight="1">
      <c r="A143" s="1" t="s">
        <v>547</v>
      </c>
      <c r="B143" s="100" t="s">
        <v>518</v>
      </c>
      <c r="C143" s="100" t="s">
        <v>297</v>
      </c>
      <c r="D143" s="100" t="s">
        <v>519</v>
      </c>
      <c r="E143" s="31">
        <v>39934</v>
      </c>
      <c r="F143" s="101">
        <v>65000</v>
      </c>
      <c r="G143" s="101">
        <v>4157.55</v>
      </c>
      <c r="H143" s="101">
        <v>1865.5</v>
      </c>
      <c r="I143" s="101">
        <v>1976</v>
      </c>
      <c r="J143" s="101">
        <v>21375.119999999999</v>
      </c>
      <c r="K143" s="101">
        <f>+Tabla4[[#This Row],[ISR
(Ley 11-92)
(1*)]]+Tabla4[[#This Row],[Seguro 
de Pensión 
(2.87%) 
 (2*)]]+Tabla4[[#This Row],[Seguro 
de Salud (3.04%)
 (3*)]]+Tabla4[[#This Row],[Otros 
Descuentos]]</f>
        <v>29374.17</v>
      </c>
      <c r="L143" s="101">
        <f>+Tabla4[[#This Row],[Sueldo Bruto
(RD$)]]-Tabla4[[#This Row],[Total 
de 
Descuento]]</f>
        <v>35625.83</v>
      </c>
      <c r="M143" s="101" t="s">
        <v>341</v>
      </c>
      <c r="N143" s="111" t="s">
        <v>19</v>
      </c>
    </row>
    <row r="144" spans="1:14" ht="30" customHeight="1">
      <c r="A144" s="26" t="s">
        <v>548</v>
      </c>
      <c r="B144" s="35" t="s">
        <v>520</v>
      </c>
      <c r="C144" s="35" t="s">
        <v>297</v>
      </c>
      <c r="D144" s="35" t="s">
        <v>165</v>
      </c>
      <c r="E144" s="27">
        <v>41281</v>
      </c>
      <c r="F144" s="34">
        <v>65000</v>
      </c>
      <c r="G144" s="34">
        <v>4427.58</v>
      </c>
      <c r="H144" s="34">
        <v>1865.5</v>
      </c>
      <c r="I144" s="34">
        <v>1976</v>
      </c>
      <c r="J144" s="34">
        <v>1025</v>
      </c>
      <c r="K144" s="34">
        <f>+Tabla4[[#This Row],[ISR
(Ley 11-92)
(1*)]]+Tabla4[[#This Row],[Seguro 
de Pensión 
(2.87%) 
 (2*)]]+Tabla4[[#This Row],[Seguro 
de Salud (3.04%)
 (3*)]]+Tabla4[[#This Row],[Otros 
Descuentos]]</f>
        <v>9294.08</v>
      </c>
      <c r="L144" s="34">
        <f>+Tabla4[[#This Row],[Sueldo Bruto
(RD$)]]-Tabla4[[#This Row],[Total 
de 
Descuento]]</f>
        <v>55705.919999999998</v>
      </c>
      <c r="M144" s="34" t="s">
        <v>341</v>
      </c>
      <c r="N144" s="36" t="s">
        <v>19</v>
      </c>
    </row>
    <row r="145" spans="1:14" ht="30" customHeight="1">
      <c r="A145" s="26" t="s">
        <v>549</v>
      </c>
      <c r="B145" s="35" t="s">
        <v>521</v>
      </c>
      <c r="C145" s="35" t="s">
        <v>297</v>
      </c>
      <c r="D145" s="35" t="s">
        <v>353</v>
      </c>
      <c r="E145" s="27">
        <v>43191</v>
      </c>
      <c r="F145" s="34">
        <v>42000</v>
      </c>
      <c r="G145" s="34">
        <v>0</v>
      </c>
      <c r="H145" s="34">
        <v>1205.4000000000001</v>
      </c>
      <c r="I145" s="34">
        <v>1276.8</v>
      </c>
      <c r="J145" s="34">
        <v>11141.27</v>
      </c>
      <c r="K145" s="34">
        <f>+Tabla4[[#This Row],[ISR
(Ley 11-92)
(1*)]]+Tabla4[[#This Row],[Seguro 
de Pensión 
(2.87%) 
 (2*)]]+Tabla4[[#This Row],[Seguro 
de Salud (3.04%)
 (3*)]]+Tabla4[[#This Row],[Otros 
Descuentos]]</f>
        <v>13623.470000000001</v>
      </c>
      <c r="L145" s="34">
        <f>+Tabla4[[#This Row],[Sueldo Bruto
(RD$)]]-Tabla4[[#This Row],[Total 
de 
Descuento]]</f>
        <v>28376.53</v>
      </c>
      <c r="M145" s="34" t="s">
        <v>341</v>
      </c>
      <c r="N145" s="36" t="s">
        <v>19</v>
      </c>
    </row>
    <row r="146" spans="1:14" ht="30" customHeight="1">
      <c r="A146" s="1" t="s">
        <v>550</v>
      </c>
      <c r="B146" s="35" t="s">
        <v>522</v>
      </c>
      <c r="C146" s="35" t="s">
        <v>297</v>
      </c>
      <c r="D146" s="35" t="s">
        <v>353</v>
      </c>
      <c r="E146" s="27">
        <v>38384</v>
      </c>
      <c r="F146" s="34">
        <v>42000</v>
      </c>
      <c r="G146" s="34">
        <v>0</v>
      </c>
      <c r="H146" s="34">
        <v>1205.4000000000001</v>
      </c>
      <c r="I146" s="34">
        <v>1276.8</v>
      </c>
      <c r="J146" s="35">
        <v>25</v>
      </c>
      <c r="K146" s="34">
        <v>2507.1999999999998</v>
      </c>
      <c r="L146" s="34">
        <v>39492.800000000003</v>
      </c>
      <c r="M146" s="34" t="s">
        <v>346</v>
      </c>
      <c r="N146" s="36" t="s">
        <v>19</v>
      </c>
    </row>
    <row r="147" spans="1:14" ht="30" customHeight="1">
      <c r="A147" s="26" t="s">
        <v>551</v>
      </c>
      <c r="B147" s="35" t="s">
        <v>523</v>
      </c>
      <c r="C147" s="35" t="s">
        <v>297</v>
      </c>
      <c r="D147" s="35" t="s">
        <v>353</v>
      </c>
      <c r="E147" s="27">
        <v>42552</v>
      </c>
      <c r="F147" s="34">
        <v>42000</v>
      </c>
      <c r="G147" s="34">
        <v>0</v>
      </c>
      <c r="H147" s="34">
        <v>1205.4000000000001</v>
      </c>
      <c r="I147" s="34">
        <v>1276.8</v>
      </c>
      <c r="J147" s="35">
        <v>25</v>
      </c>
      <c r="K147" s="34">
        <v>2507.1999999999998</v>
      </c>
      <c r="L147" s="34">
        <v>39492.800000000003</v>
      </c>
      <c r="M147" s="34" t="s">
        <v>341</v>
      </c>
      <c r="N147" s="36" t="s">
        <v>35</v>
      </c>
    </row>
    <row r="148" spans="1:14" ht="30" customHeight="1">
      <c r="A148" s="26" t="s">
        <v>552</v>
      </c>
      <c r="B148" s="35" t="s">
        <v>524</v>
      </c>
      <c r="C148" s="35" t="s">
        <v>297</v>
      </c>
      <c r="D148" s="35" t="s">
        <v>353</v>
      </c>
      <c r="E148" s="27">
        <v>43405</v>
      </c>
      <c r="F148" s="34">
        <v>42000</v>
      </c>
      <c r="G148" s="34">
        <v>0</v>
      </c>
      <c r="H148" s="34">
        <v>1205.4000000000001</v>
      </c>
      <c r="I148" s="34">
        <v>1276.8</v>
      </c>
      <c r="J148" s="35">
        <v>25</v>
      </c>
      <c r="K148" s="34">
        <v>2507.1999999999998</v>
      </c>
      <c r="L148" s="34">
        <v>39492.800000000003</v>
      </c>
      <c r="M148" s="34" t="s">
        <v>341</v>
      </c>
      <c r="N148" s="36" t="s">
        <v>35</v>
      </c>
    </row>
    <row r="149" spans="1:14" ht="30" customHeight="1">
      <c r="A149" s="1" t="s">
        <v>553</v>
      </c>
      <c r="B149" s="35" t="s">
        <v>525</v>
      </c>
      <c r="C149" s="35" t="s">
        <v>302</v>
      </c>
      <c r="D149" s="35" t="s">
        <v>526</v>
      </c>
      <c r="E149" s="27">
        <v>43203</v>
      </c>
      <c r="F149" s="34">
        <v>145000</v>
      </c>
      <c r="G149" s="34">
        <v>22690.49</v>
      </c>
      <c r="H149" s="34">
        <v>4161.5</v>
      </c>
      <c r="I149" s="34">
        <v>4408</v>
      </c>
      <c r="J149" s="35">
        <v>25</v>
      </c>
      <c r="K149" s="34">
        <v>31284.99</v>
      </c>
      <c r="L149" s="34">
        <v>113715.01</v>
      </c>
      <c r="M149" s="34" t="s">
        <v>346</v>
      </c>
      <c r="N149" s="36" t="s">
        <v>35</v>
      </c>
    </row>
    <row r="150" spans="1:14" ht="30" customHeight="1">
      <c r="A150" s="26" t="s">
        <v>554</v>
      </c>
      <c r="B150" s="35" t="s">
        <v>527</v>
      </c>
      <c r="C150" s="35" t="s">
        <v>302</v>
      </c>
      <c r="D150" s="35" t="s">
        <v>353</v>
      </c>
      <c r="E150" s="27">
        <v>35968</v>
      </c>
      <c r="F150" s="34">
        <v>42000</v>
      </c>
      <c r="G150" s="34">
        <v>0</v>
      </c>
      <c r="H150" s="34">
        <v>1205.4000000000001</v>
      </c>
      <c r="I150" s="34">
        <v>1276.8</v>
      </c>
      <c r="J150" s="35">
        <v>25</v>
      </c>
      <c r="K150" s="34">
        <v>2507.1999999999998</v>
      </c>
      <c r="L150" s="34">
        <v>39492.800000000003</v>
      </c>
      <c r="M150" s="34" t="s">
        <v>346</v>
      </c>
      <c r="N150" s="36" t="s">
        <v>19</v>
      </c>
    </row>
    <row r="151" spans="1:14" ht="30" customHeight="1">
      <c r="A151" s="26" t="s">
        <v>555</v>
      </c>
      <c r="B151" s="35" t="s">
        <v>528</v>
      </c>
      <c r="C151" s="35" t="s">
        <v>302</v>
      </c>
      <c r="D151" s="35" t="s">
        <v>379</v>
      </c>
      <c r="E151" s="27">
        <v>44531</v>
      </c>
      <c r="F151" s="34">
        <v>40000</v>
      </c>
      <c r="G151" s="35">
        <v>442.65</v>
      </c>
      <c r="H151" s="34">
        <v>1148</v>
      </c>
      <c r="I151" s="34">
        <v>1216</v>
      </c>
      <c r="J151" s="35">
        <v>25</v>
      </c>
      <c r="K151" s="34">
        <v>2831.65</v>
      </c>
      <c r="L151" s="34">
        <v>37168.35</v>
      </c>
      <c r="M151" s="34" t="s">
        <v>341</v>
      </c>
      <c r="N151" s="36" t="s">
        <v>19</v>
      </c>
    </row>
    <row r="152" spans="1:14" ht="30" customHeight="1">
      <c r="A152" s="120"/>
      <c r="B152" s="121" t="s">
        <v>314</v>
      </c>
      <c r="C152" s="122"/>
      <c r="D152" s="122"/>
      <c r="E152" s="122"/>
      <c r="F152" s="123">
        <f>SUBTOTAL(109,Tabla4[Sueldo Bruto
(RD$)])</f>
        <v>9531940.7400000002</v>
      </c>
      <c r="G152" s="123">
        <f>SUBTOTAL(109,Tabla4[ISR
(Ley 11-92)
(1*)])</f>
        <v>795617.36999999988</v>
      </c>
      <c r="H152" s="123">
        <f>SUBTOTAL(109,Tabla4[Seguro 
de Pensión 
(2.87%) 
 (2*)])</f>
        <v>273566.73000000004</v>
      </c>
      <c r="I152" s="123">
        <f>SUBTOTAL(109,Tabla4[Seguro 
de Salud (3.04%)
 (3*)])</f>
        <v>281042.39999999991</v>
      </c>
      <c r="J152" s="123">
        <f>SUBTOTAL(109,Tabla4[Otros 
Descuentos])</f>
        <v>244964.42999999991</v>
      </c>
      <c r="K152" s="124">
        <f>SUBTOTAL(109,Tabla4[Total 
de 
Descuento])</f>
        <v>1595190.9299999995</v>
      </c>
      <c r="L152" s="123">
        <f>SUBTOTAL(109,Tabla4[Neto])</f>
        <v>7936749.8099999903</v>
      </c>
      <c r="M152" s="122"/>
      <c r="N152" s="125">
        <f>SUBTOTAL(103,Tabla4[sexo])</f>
        <v>144</v>
      </c>
    </row>
    <row r="154" spans="1:14" ht="30" customHeight="1">
      <c r="A154" s="8" t="s">
        <v>315</v>
      </c>
      <c r="B154" s="9"/>
    </row>
    <row r="155" spans="1:14" ht="30" customHeight="1">
      <c r="A155" s="9" t="s">
        <v>316</v>
      </c>
      <c r="B155" s="10"/>
    </row>
    <row r="156" spans="1:14" ht="30" customHeight="1">
      <c r="A156" s="10" t="s">
        <v>317</v>
      </c>
      <c r="B156" s="10"/>
    </row>
    <row r="157" spans="1:14" ht="30" customHeight="1">
      <c r="A157" s="10" t="s">
        <v>318</v>
      </c>
      <c r="B157" s="10"/>
    </row>
    <row r="158" spans="1:14" ht="30" customHeight="1">
      <c r="A158" s="11"/>
      <c r="B158" s="11"/>
    </row>
    <row r="159" spans="1:14" ht="30" customHeight="1">
      <c r="A159" s="12"/>
      <c r="B159" s="13"/>
    </row>
    <row r="161" spans="1:2" ht="30" customHeight="1">
      <c r="A161" s="14" t="s">
        <v>319</v>
      </c>
      <c r="B161" s="15"/>
    </row>
    <row r="162" spans="1:2" ht="30" customHeight="1">
      <c r="A162" s="17" t="s">
        <v>320</v>
      </c>
      <c r="B162" s="18"/>
    </row>
  </sheetData>
  <mergeCells count="2">
    <mergeCell ref="A1:N1"/>
    <mergeCell ref="A2:N2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34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3"/>
  <sheetViews>
    <sheetView zoomScale="60" zoomScaleNormal="60" workbookViewId="0">
      <pane ySplit="7" topLeftCell="A101" activePane="bottomLeft" state="frozen"/>
      <selection pane="bottomLeft" activeCell="O132" sqref="O132"/>
    </sheetView>
  </sheetViews>
  <sheetFormatPr baseColWidth="10" defaultRowHeight="15"/>
  <cols>
    <col min="1" max="1" width="14.42578125" customWidth="1"/>
    <col min="2" max="2" width="52.7109375" bestFit="1" customWidth="1"/>
    <col min="3" max="3" width="116" bestFit="1" customWidth="1"/>
    <col min="4" max="4" width="45.42578125" bestFit="1" customWidth="1"/>
    <col min="5" max="5" width="19.7109375" customWidth="1"/>
    <col min="6" max="6" width="19.42578125" customWidth="1"/>
    <col min="7" max="7" width="23.28515625" customWidth="1"/>
    <col min="8" max="8" width="24" bestFit="1" customWidth="1"/>
    <col min="9" max="9" width="23.42578125" bestFit="1" customWidth="1"/>
    <col min="10" max="10" width="20.140625" bestFit="1" customWidth="1"/>
    <col min="11" max="11" width="24.85546875" customWidth="1"/>
    <col min="12" max="12" width="24.140625" bestFit="1" customWidth="1"/>
    <col min="13" max="13" width="19.85546875" bestFit="1" customWidth="1"/>
    <col min="14" max="14" width="32.42578125" bestFit="1" customWidth="1"/>
    <col min="15" max="15" width="17" bestFit="1" customWidth="1"/>
  </cols>
  <sheetData>
    <row r="1" spans="1:15" ht="28.5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</row>
    <row r="2" spans="1:15" ht="28.5">
      <c r="A2" s="140" t="s">
        <v>616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</row>
    <row r="6" spans="1:15" ht="15.75" thickBot="1"/>
    <row r="7" spans="1:15" ht="84.75" thickBot="1">
      <c r="A7" s="61" t="s">
        <v>1</v>
      </c>
      <c r="B7" s="40" t="s">
        <v>2</v>
      </c>
      <c r="C7" s="40" t="s">
        <v>3</v>
      </c>
      <c r="D7" s="40" t="s">
        <v>4</v>
      </c>
      <c r="E7" s="41" t="s">
        <v>611</v>
      </c>
      <c r="F7" s="41" t="s">
        <v>612</v>
      </c>
      <c r="G7" s="41" t="s">
        <v>5</v>
      </c>
      <c r="H7" s="46" t="s">
        <v>6</v>
      </c>
      <c r="I7" s="46" t="s">
        <v>7</v>
      </c>
      <c r="J7" s="46" t="s">
        <v>8</v>
      </c>
      <c r="K7" s="41" t="s">
        <v>9</v>
      </c>
      <c r="L7" s="41" t="s">
        <v>10</v>
      </c>
      <c r="M7" s="41" t="s">
        <v>11</v>
      </c>
      <c r="N7" s="40" t="s">
        <v>12</v>
      </c>
      <c r="O7" s="40" t="s">
        <v>13</v>
      </c>
    </row>
    <row r="8" spans="1:15" ht="35.1" customHeight="1">
      <c r="A8" s="1" t="s">
        <v>14</v>
      </c>
      <c r="B8" s="32" t="s">
        <v>15</v>
      </c>
      <c r="C8" s="32" t="s">
        <v>16</v>
      </c>
      <c r="D8" s="32" t="s">
        <v>17</v>
      </c>
      <c r="E8" s="47">
        <v>44682</v>
      </c>
      <c r="F8" s="47">
        <v>44866</v>
      </c>
      <c r="G8" s="33">
        <v>100000</v>
      </c>
      <c r="H8" s="32">
        <v>0</v>
      </c>
      <c r="I8" s="33">
        <v>2870</v>
      </c>
      <c r="J8" s="33">
        <v>3040</v>
      </c>
      <c r="K8" s="32">
        <v>25</v>
      </c>
      <c r="L8" s="33">
        <v>5935</v>
      </c>
      <c r="M8" s="33">
        <v>94065</v>
      </c>
      <c r="N8" s="48" t="s">
        <v>18</v>
      </c>
      <c r="O8" s="49" t="s">
        <v>19</v>
      </c>
    </row>
    <row r="9" spans="1:15" ht="35.1" customHeight="1">
      <c r="A9" s="1" t="s">
        <v>20</v>
      </c>
      <c r="B9" s="35" t="s">
        <v>21</v>
      </c>
      <c r="C9" s="35" t="s">
        <v>16</v>
      </c>
      <c r="D9" s="35" t="s">
        <v>22</v>
      </c>
      <c r="E9" s="47">
        <v>44698</v>
      </c>
      <c r="F9" s="47">
        <v>44882</v>
      </c>
      <c r="G9" s="34">
        <v>80000</v>
      </c>
      <c r="H9" s="35">
        <v>0</v>
      </c>
      <c r="I9" s="34">
        <v>2296</v>
      </c>
      <c r="J9" s="34">
        <v>2432</v>
      </c>
      <c r="K9" s="34">
        <v>8066.87</v>
      </c>
      <c r="L9" s="34">
        <f>+Tabla1[[#This Row],[ISR
(Ley 11-92)
(1*)]]+Tabla1[[#This Row],[Seguro 
de Pensión 
(2.87%)  
(2*)]]+Tabla1[[#This Row],[Seguro 
de Salud 
(3.04%)
 (3*)]]+Tabla1[[#This Row],[Otros
 Descuentos]]</f>
        <v>12794.869999999999</v>
      </c>
      <c r="M9" s="34">
        <f>+Tabla1[[#This Row],[Sueldo Bruto
(RD$)]]-Tabla1[[#This Row],[Total de 
Descuentos]]</f>
        <v>67205.13</v>
      </c>
      <c r="N9" s="48" t="s">
        <v>18</v>
      </c>
      <c r="O9" s="50" t="s">
        <v>19</v>
      </c>
    </row>
    <row r="10" spans="1:15" ht="35.1" customHeight="1">
      <c r="A10" s="1" t="s">
        <v>23</v>
      </c>
      <c r="B10" s="35" t="s">
        <v>24</v>
      </c>
      <c r="C10" s="35" t="s">
        <v>16</v>
      </c>
      <c r="D10" s="35" t="s">
        <v>22</v>
      </c>
      <c r="E10" s="47">
        <v>44698</v>
      </c>
      <c r="F10" s="47">
        <v>44882</v>
      </c>
      <c r="G10" s="34">
        <v>80000</v>
      </c>
      <c r="H10" s="35">
        <v>0</v>
      </c>
      <c r="I10" s="34">
        <v>2296</v>
      </c>
      <c r="J10" s="34">
        <v>2432</v>
      </c>
      <c r="K10" s="35">
        <v>25</v>
      </c>
      <c r="L10" s="34">
        <v>4753</v>
      </c>
      <c r="M10" s="34">
        <v>75247</v>
      </c>
      <c r="N10" s="48" t="s">
        <v>18</v>
      </c>
      <c r="O10" s="50" t="s">
        <v>19</v>
      </c>
    </row>
    <row r="11" spans="1:15" ht="35.1" customHeight="1">
      <c r="A11" s="1" t="s">
        <v>25</v>
      </c>
      <c r="B11" s="35" t="s">
        <v>26</v>
      </c>
      <c r="C11" s="35" t="s">
        <v>16</v>
      </c>
      <c r="D11" s="35" t="s">
        <v>22</v>
      </c>
      <c r="E11" s="51">
        <v>44705</v>
      </c>
      <c r="F11" s="51">
        <v>44889</v>
      </c>
      <c r="G11" s="34">
        <v>80000</v>
      </c>
      <c r="H11" s="35">
        <v>0</v>
      </c>
      <c r="I11" s="34">
        <v>2296</v>
      </c>
      <c r="J11" s="34">
        <v>2432</v>
      </c>
      <c r="K11" s="35">
        <v>25</v>
      </c>
      <c r="L11" s="34">
        <v>4753</v>
      </c>
      <c r="M11" s="34">
        <v>75247</v>
      </c>
      <c r="N11" s="48" t="s">
        <v>18</v>
      </c>
      <c r="O11" s="50" t="s">
        <v>19</v>
      </c>
    </row>
    <row r="12" spans="1:15" ht="35.1" customHeight="1">
      <c r="A12" s="1" t="s">
        <v>27</v>
      </c>
      <c r="B12" s="35" t="s">
        <v>28</v>
      </c>
      <c r="C12" s="35" t="s">
        <v>16</v>
      </c>
      <c r="D12" s="35" t="s">
        <v>22</v>
      </c>
      <c r="E12" s="47">
        <v>44797</v>
      </c>
      <c r="F12" s="47">
        <v>44981</v>
      </c>
      <c r="G12" s="34">
        <v>80000</v>
      </c>
      <c r="H12" s="35">
        <v>0</v>
      </c>
      <c r="I12" s="34">
        <v>2296</v>
      </c>
      <c r="J12" s="34">
        <v>2432</v>
      </c>
      <c r="K12" s="34">
        <v>17228.009999999998</v>
      </c>
      <c r="L12" s="34">
        <f>+Tabla1[[#This Row],[ISR
(Ley 11-92)
(1*)]]+Tabla1[[#This Row],[Seguro 
de Pensión 
(2.87%)  
(2*)]]+Tabla1[[#This Row],[Seguro 
de Salud 
(3.04%)
 (3*)]]+Tabla1[[#This Row],[Otros
 Descuentos]]</f>
        <v>21956.01</v>
      </c>
      <c r="M12" s="34">
        <f>+Tabla1[[#This Row],[Sueldo Bruto
(RD$)]]-Tabla1[[#This Row],[Total de 
Descuentos]]</f>
        <v>58043.990000000005</v>
      </c>
      <c r="N12" s="48" t="s">
        <v>18</v>
      </c>
      <c r="O12" s="50" t="s">
        <v>19</v>
      </c>
    </row>
    <row r="13" spans="1:15" ht="35.1" customHeight="1">
      <c r="A13" s="1" t="s">
        <v>29</v>
      </c>
      <c r="B13" s="35" t="s">
        <v>30</v>
      </c>
      <c r="C13" s="35" t="s">
        <v>16</v>
      </c>
      <c r="D13" s="35" t="s">
        <v>22</v>
      </c>
      <c r="E13" s="51">
        <v>44685</v>
      </c>
      <c r="F13" s="51">
        <v>44869</v>
      </c>
      <c r="G13" s="34">
        <v>80000</v>
      </c>
      <c r="H13" s="34">
        <v>7400.87</v>
      </c>
      <c r="I13" s="34">
        <v>2296</v>
      </c>
      <c r="J13" s="34">
        <v>2432</v>
      </c>
      <c r="K13" s="35">
        <v>25</v>
      </c>
      <c r="L13" s="34">
        <v>12153.87</v>
      </c>
      <c r="M13" s="34">
        <v>67846.13</v>
      </c>
      <c r="N13" s="48" t="s">
        <v>18</v>
      </c>
      <c r="O13" s="50" t="s">
        <v>19</v>
      </c>
    </row>
    <row r="14" spans="1:15" ht="35.1" customHeight="1">
      <c r="A14" s="1" t="s">
        <v>31</v>
      </c>
      <c r="B14" s="35" t="s">
        <v>32</v>
      </c>
      <c r="C14" s="35" t="s">
        <v>16</v>
      </c>
      <c r="D14" s="35" t="s">
        <v>22</v>
      </c>
      <c r="E14" s="51">
        <v>44698</v>
      </c>
      <c r="F14" s="51">
        <v>44882</v>
      </c>
      <c r="G14" s="34">
        <v>80000</v>
      </c>
      <c r="H14" s="35">
        <v>0</v>
      </c>
      <c r="I14" s="34">
        <v>2296</v>
      </c>
      <c r="J14" s="34">
        <v>2432</v>
      </c>
      <c r="K14" s="34">
        <v>2525</v>
      </c>
      <c r="L14" s="34">
        <v>7253</v>
      </c>
      <c r="M14" s="34">
        <v>72747</v>
      </c>
      <c r="N14" s="48" t="s">
        <v>18</v>
      </c>
      <c r="O14" s="50" t="s">
        <v>35</v>
      </c>
    </row>
    <row r="15" spans="1:15" ht="35.1" customHeight="1">
      <c r="A15" s="1" t="s">
        <v>33</v>
      </c>
      <c r="B15" s="35" t="s">
        <v>34</v>
      </c>
      <c r="C15" s="35" t="s">
        <v>16</v>
      </c>
      <c r="D15" s="35" t="s">
        <v>22</v>
      </c>
      <c r="E15" s="51">
        <v>44698</v>
      </c>
      <c r="F15" s="51">
        <v>44882</v>
      </c>
      <c r="G15" s="34">
        <v>80000</v>
      </c>
      <c r="H15" s="34">
        <v>7400.87</v>
      </c>
      <c r="I15" s="34">
        <v>2296</v>
      </c>
      <c r="J15" s="34">
        <v>2432</v>
      </c>
      <c r="K15" s="35">
        <v>599.84</v>
      </c>
      <c r="L15" s="34">
        <v>12728.71</v>
      </c>
      <c r="M15" s="34">
        <v>67271.289999999994</v>
      </c>
      <c r="N15" s="48" t="s">
        <v>18</v>
      </c>
      <c r="O15" s="50" t="s">
        <v>35</v>
      </c>
    </row>
    <row r="16" spans="1:15" ht="35.1" customHeight="1">
      <c r="A16" s="1" t="s">
        <v>36</v>
      </c>
      <c r="B16" s="106" t="s">
        <v>598</v>
      </c>
      <c r="C16" s="100" t="s">
        <v>16</v>
      </c>
      <c r="D16" s="106" t="s">
        <v>22</v>
      </c>
      <c r="E16" s="98">
        <v>44713</v>
      </c>
      <c r="F16" s="98">
        <v>44896</v>
      </c>
      <c r="G16" s="107">
        <v>80000</v>
      </c>
      <c r="H16" s="107">
        <v>7400.87</v>
      </c>
      <c r="I16" s="107">
        <v>2296</v>
      </c>
      <c r="J16" s="107">
        <v>2432</v>
      </c>
      <c r="K16" s="106">
        <v>25</v>
      </c>
      <c r="L16" s="107">
        <f>+Tabla1[[#This Row],[ISR
(Ley 11-92)
(1*)]]+Tabla1[[#This Row],[Seguro 
de Pensión 
(2.87%)  
(2*)]]+Tabla1[[#This Row],[Seguro 
de Salud 
(3.04%)
 (3*)]]+Tabla1[[#This Row],[Otros
 Descuentos]]</f>
        <v>12153.869999999999</v>
      </c>
      <c r="M16" s="107">
        <f>+Tabla1[[#This Row],[Sueldo Bruto
(RD$)]]-Tabla1[[#This Row],[Total de 
Descuentos]]</f>
        <v>67846.13</v>
      </c>
      <c r="N16" s="102" t="s">
        <v>18</v>
      </c>
      <c r="O16" s="103" t="s">
        <v>19</v>
      </c>
    </row>
    <row r="17" spans="1:15" ht="35.1" customHeight="1">
      <c r="A17" s="1" t="s">
        <v>39</v>
      </c>
      <c r="B17" s="106" t="s">
        <v>599</v>
      </c>
      <c r="C17" s="100" t="s">
        <v>16</v>
      </c>
      <c r="D17" s="106" t="s">
        <v>22</v>
      </c>
      <c r="E17" s="98">
        <v>44718</v>
      </c>
      <c r="F17" s="98">
        <v>44901</v>
      </c>
      <c r="G17" s="107">
        <v>80000</v>
      </c>
      <c r="H17" s="107">
        <v>7063.34</v>
      </c>
      <c r="I17" s="107">
        <v>2296</v>
      </c>
      <c r="J17" s="107">
        <v>2432</v>
      </c>
      <c r="K17" s="106">
        <v>1375.12</v>
      </c>
      <c r="L17" s="107">
        <f>+Tabla1[[#This Row],[ISR
(Ley 11-92)
(1*)]]+Tabla1[[#This Row],[Seguro 
de Pensión 
(2.87%)  
(2*)]]+Tabla1[[#This Row],[Seguro 
de Salud 
(3.04%)
 (3*)]]+Tabla1[[#This Row],[Otros
 Descuentos]]</f>
        <v>13166.46</v>
      </c>
      <c r="M17" s="107">
        <f>+Tabla1[[#This Row],[Sueldo Bruto
(RD$)]]-Tabla1[[#This Row],[Total de 
Descuentos]]</f>
        <v>66833.540000000008</v>
      </c>
      <c r="N17" s="102" t="s">
        <v>18</v>
      </c>
      <c r="O17" s="103" t="s">
        <v>19</v>
      </c>
    </row>
    <row r="18" spans="1:15" ht="35.1" customHeight="1">
      <c r="A18" s="1" t="s">
        <v>41</v>
      </c>
      <c r="B18" s="35" t="s">
        <v>37</v>
      </c>
      <c r="C18" s="35" t="s">
        <v>16</v>
      </c>
      <c r="D18" s="35" t="s">
        <v>38</v>
      </c>
      <c r="E18" s="51">
        <v>44652</v>
      </c>
      <c r="F18" s="51">
        <v>44835</v>
      </c>
      <c r="G18" s="34">
        <v>65000</v>
      </c>
      <c r="H18" s="34">
        <v>4427.58</v>
      </c>
      <c r="I18" s="34">
        <v>1865.5</v>
      </c>
      <c r="J18" s="34">
        <v>1976</v>
      </c>
      <c r="K18" s="35">
        <v>25</v>
      </c>
      <c r="L18" s="34">
        <v>8294.08</v>
      </c>
      <c r="M18" s="34">
        <v>56705.919999999998</v>
      </c>
      <c r="N18" s="48" t="s">
        <v>18</v>
      </c>
      <c r="O18" s="50" t="s">
        <v>19</v>
      </c>
    </row>
    <row r="19" spans="1:15" ht="35.1" customHeight="1">
      <c r="A19" s="1" t="s">
        <v>44</v>
      </c>
      <c r="B19" s="35" t="s">
        <v>40</v>
      </c>
      <c r="C19" s="35" t="s">
        <v>16</v>
      </c>
      <c r="D19" s="35" t="s">
        <v>38</v>
      </c>
      <c r="E19" s="52">
        <v>44756</v>
      </c>
      <c r="F19" s="52">
        <v>44940</v>
      </c>
      <c r="G19" s="34">
        <v>90000</v>
      </c>
      <c r="H19" s="34">
        <v>9753.1200000000008</v>
      </c>
      <c r="I19" s="34">
        <v>2583</v>
      </c>
      <c r="J19" s="34">
        <v>2736</v>
      </c>
      <c r="K19" s="35">
        <v>25</v>
      </c>
      <c r="L19" s="34">
        <v>15097.12</v>
      </c>
      <c r="M19" s="34">
        <v>74902.880000000005</v>
      </c>
      <c r="N19" s="48" t="s">
        <v>18</v>
      </c>
      <c r="O19" s="50" t="s">
        <v>35</v>
      </c>
    </row>
    <row r="20" spans="1:15" ht="35.1" customHeight="1">
      <c r="A20" s="1" t="s">
        <v>48</v>
      </c>
      <c r="B20" s="35" t="s">
        <v>42</v>
      </c>
      <c r="C20" s="35" t="s">
        <v>16</v>
      </c>
      <c r="D20" s="35" t="s">
        <v>43</v>
      </c>
      <c r="E20" s="51">
        <v>44652</v>
      </c>
      <c r="F20" s="51">
        <v>44835</v>
      </c>
      <c r="G20" s="34">
        <v>65000</v>
      </c>
      <c r="H20" s="35">
        <v>0</v>
      </c>
      <c r="I20" s="34">
        <v>1865.5</v>
      </c>
      <c r="J20" s="34">
        <v>1976</v>
      </c>
      <c r="K20" s="35">
        <v>25</v>
      </c>
      <c r="L20" s="34">
        <v>3866.5</v>
      </c>
      <c r="M20" s="34">
        <v>61133.5</v>
      </c>
      <c r="N20" s="48" t="s">
        <v>18</v>
      </c>
      <c r="O20" s="50" t="s">
        <v>19</v>
      </c>
    </row>
    <row r="21" spans="1:15" s="104" customFormat="1" ht="35.1" customHeight="1">
      <c r="A21" s="1" t="s">
        <v>50</v>
      </c>
      <c r="B21" s="35" t="s">
        <v>45</v>
      </c>
      <c r="C21" s="35" t="s">
        <v>46</v>
      </c>
      <c r="D21" s="35" t="s">
        <v>47</v>
      </c>
      <c r="E21" s="51">
        <v>44621</v>
      </c>
      <c r="F21" s="51">
        <v>44805</v>
      </c>
      <c r="G21" s="34">
        <v>125000</v>
      </c>
      <c r="H21" s="34">
        <v>17648.46</v>
      </c>
      <c r="I21" s="34">
        <v>3587.5</v>
      </c>
      <c r="J21" s="34">
        <v>3800</v>
      </c>
      <c r="K21" s="34">
        <v>1375.12</v>
      </c>
      <c r="L21" s="34">
        <v>26411.08</v>
      </c>
      <c r="M21" s="34">
        <v>98588.92</v>
      </c>
      <c r="N21" s="48" t="s">
        <v>18</v>
      </c>
      <c r="O21" s="50" t="s">
        <v>19</v>
      </c>
    </row>
    <row r="22" spans="1:15" ht="35.1" customHeight="1">
      <c r="A22" s="1" t="s">
        <v>52</v>
      </c>
      <c r="B22" s="35" t="s">
        <v>51</v>
      </c>
      <c r="C22" s="35" t="s">
        <v>46</v>
      </c>
      <c r="D22" s="35" t="s">
        <v>49</v>
      </c>
      <c r="E22" s="47">
        <v>44621</v>
      </c>
      <c r="F22" s="47">
        <v>44805</v>
      </c>
      <c r="G22" s="34">
        <v>70000</v>
      </c>
      <c r="H22" s="34">
        <v>5368.48</v>
      </c>
      <c r="I22" s="34">
        <v>2009</v>
      </c>
      <c r="J22" s="34">
        <v>2128</v>
      </c>
      <c r="K22" s="35">
        <v>25</v>
      </c>
      <c r="L22" s="34">
        <f>+Tabla1[[#This Row],[ISR
(Ley 11-92)
(1*)]]+Tabla1[[#This Row],[Seguro 
de Pensión 
(2.87%)  
(2*)]]+Tabla1[[#This Row],[Seguro 
de Salud 
(3.04%)
 (3*)]]+Tabla1[[#This Row],[Otros
 Descuentos]]</f>
        <v>9530.48</v>
      </c>
      <c r="M22" s="34">
        <f>+Tabla1[[#This Row],[Sueldo Bruto
(RD$)]]-Tabla1[[#This Row],[Total de 
Descuentos]]</f>
        <v>60469.520000000004</v>
      </c>
      <c r="N22" s="48" t="s">
        <v>18</v>
      </c>
      <c r="O22" s="50" t="s">
        <v>19</v>
      </c>
    </row>
    <row r="23" spans="1:15" s="104" customFormat="1" ht="35.1" customHeight="1">
      <c r="A23" s="126" t="s">
        <v>56</v>
      </c>
      <c r="B23" s="106" t="s">
        <v>273</v>
      </c>
      <c r="C23" s="100" t="s">
        <v>46</v>
      </c>
      <c r="D23" s="106" t="s">
        <v>621</v>
      </c>
      <c r="E23" s="105">
        <v>44713</v>
      </c>
      <c r="F23" s="105">
        <v>44896</v>
      </c>
      <c r="G23" s="107">
        <v>50000</v>
      </c>
      <c r="H23" s="107">
        <v>0</v>
      </c>
      <c r="I23" s="107">
        <v>1435</v>
      </c>
      <c r="J23" s="107">
        <v>1520</v>
      </c>
      <c r="K23" s="106">
        <v>125</v>
      </c>
      <c r="L23" s="107">
        <v>3080</v>
      </c>
      <c r="M23" s="107">
        <v>46920</v>
      </c>
      <c r="N23" s="102" t="s">
        <v>18</v>
      </c>
      <c r="O23" s="109" t="s">
        <v>35</v>
      </c>
    </row>
    <row r="24" spans="1:15" ht="35.1" customHeight="1">
      <c r="A24" s="1" t="s">
        <v>58</v>
      </c>
      <c r="B24" s="35" t="s">
        <v>53</v>
      </c>
      <c r="C24" s="35" t="s">
        <v>54</v>
      </c>
      <c r="D24" s="35" t="s">
        <v>55</v>
      </c>
      <c r="E24" s="51">
        <v>44621</v>
      </c>
      <c r="F24" s="51">
        <v>44805</v>
      </c>
      <c r="G24" s="34">
        <v>135000</v>
      </c>
      <c r="H24" s="34">
        <v>20338.240000000002</v>
      </c>
      <c r="I24" s="34">
        <v>3874.5</v>
      </c>
      <c r="J24" s="34">
        <v>4104</v>
      </c>
      <c r="K24" s="34">
        <v>2155.5300000000002</v>
      </c>
      <c r="L24" s="34">
        <v>30472.27</v>
      </c>
      <c r="M24" s="34">
        <v>104527.73</v>
      </c>
      <c r="N24" s="48" t="s">
        <v>18</v>
      </c>
      <c r="O24" s="50" t="s">
        <v>19</v>
      </c>
    </row>
    <row r="25" spans="1:15" ht="35.1" customHeight="1">
      <c r="A25" s="1" t="s">
        <v>60</v>
      </c>
      <c r="B25" s="35" t="s">
        <v>57</v>
      </c>
      <c r="C25" s="35" t="s">
        <v>54</v>
      </c>
      <c r="D25" s="35" t="s">
        <v>38</v>
      </c>
      <c r="E25" s="52">
        <v>44621</v>
      </c>
      <c r="F25" s="52">
        <v>44805</v>
      </c>
      <c r="G25" s="34">
        <v>70000</v>
      </c>
      <c r="H25" s="34">
        <v>5368.48</v>
      </c>
      <c r="I25" s="34">
        <v>2009</v>
      </c>
      <c r="J25" s="34">
        <v>2128</v>
      </c>
      <c r="K25" s="35">
        <v>25</v>
      </c>
      <c r="L25" s="34">
        <v>9530.48</v>
      </c>
      <c r="M25" s="34">
        <v>60469.52</v>
      </c>
      <c r="N25" s="48" t="s">
        <v>18</v>
      </c>
      <c r="O25" s="50" t="s">
        <v>35</v>
      </c>
    </row>
    <row r="26" spans="1:15" s="104" customFormat="1" ht="35.1" customHeight="1">
      <c r="A26" s="126" t="s">
        <v>62</v>
      </c>
      <c r="B26" s="100" t="s">
        <v>623</v>
      </c>
      <c r="C26" s="100" t="s">
        <v>54</v>
      </c>
      <c r="D26" s="100" t="s">
        <v>38</v>
      </c>
      <c r="E26" s="51">
        <v>44743</v>
      </c>
      <c r="F26" s="51">
        <v>44927</v>
      </c>
      <c r="G26" s="101">
        <v>65000</v>
      </c>
      <c r="H26" s="101">
        <v>4427.58</v>
      </c>
      <c r="I26" s="101">
        <f>+Tabla1[[#This Row],[Sueldo Bruto
(RD$)]]*0.0287</f>
        <v>1865.5</v>
      </c>
      <c r="J26" s="101">
        <f>+Tabla1[[#This Row],[Sueldo Bruto
(RD$)]]*0.0304</f>
        <v>1976</v>
      </c>
      <c r="K26" s="100">
        <v>25</v>
      </c>
      <c r="L26" s="101">
        <f>+Tabla1[[#This Row],[ISR
(Ley 11-92)
(1*)]]+Tabla1[[#This Row],[Seguro 
de Pensión 
(2.87%)  
(2*)]]+Tabla1[[#This Row],[Seguro 
de Salud 
(3.04%)
 (3*)]]+Tabla1[[#This Row],[Otros
 Descuentos]]</f>
        <v>8294.08</v>
      </c>
      <c r="M26" s="101">
        <f>+Tabla1[[#This Row],[Sueldo Bruto
(RD$)]]-Tabla1[[#This Row],[Total de 
Descuentos]]</f>
        <v>56705.919999999998</v>
      </c>
      <c r="N26" s="102" t="s">
        <v>18</v>
      </c>
      <c r="O26" s="103" t="s">
        <v>19</v>
      </c>
    </row>
    <row r="27" spans="1:15" ht="35.1" customHeight="1">
      <c r="A27" s="1" t="s">
        <v>65</v>
      </c>
      <c r="B27" s="35" t="s">
        <v>63</v>
      </c>
      <c r="C27" s="35" t="s">
        <v>61</v>
      </c>
      <c r="D27" s="35" t="s">
        <v>64</v>
      </c>
      <c r="E27" s="51">
        <v>44666</v>
      </c>
      <c r="F27" s="51">
        <v>44849</v>
      </c>
      <c r="G27" s="34">
        <v>120000</v>
      </c>
      <c r="H27" s="34">
        <v>16809.87</v>
      </c>
      <c r="I27" s="34">
        <v>3444</v>
      </c>
      <c r="J27" s="34">
        <v>3648</v>
      </c>
      <c r="K27" s="35">
        <v>25</v>
      </c>
      <c r="L27" s="34">
        <f>+Tabla1[[#This Row],[ISR
(Ley 11-92)
(1*)]]+Tabla1[[#This Row],[Seguro 
de Pensión 
(2.87%)  
(2*)]]+Tabla1[[#This Row],[Seguro 
de Salud 
(3.04%)
 (3*)]]+Tabla1[[#This Row],[Otros
 Descuentos]]</f>
        <v>23926.87</v>
      </c>
      <c r="M27" s="34">
        <f>+Tabla1[[#This Row],[Sueldo Bruto
(RD$)]]-Tabla1[[#This Row],[Total de 
Descuentos]]</f>
        <v>96073.13</v>
      </c>
      <c r="N27" s="48" t="s">
        <v>18</v>
      </c>
      <c r="O27" s="50" t="s">
        <v>35</v>
      </c>
    </row>
    <row r="28" spans="1:15" ht="35.1" customHeight="1">
      <c r="A28" s="1" t="s">
        <v>68</v>
      </c>
      <c r="B28" s="35" t="s">
        <v>66</v>
      </c>
      <c r="C28" s="35" t="s">
        <v>61</v>
      </c>
      <c r="D28" s="35" t="s">
        <v>67</v>
      </c>
      <c r="E28" s="51">
        <v>44682</v>
      </c>
      <c r="F28" s="51">
        <v>44866</v>
      </c>
      <c r="G28" s="34">
        <v>120000</v>
      </c>
      <c r="H28" s="34">
        <v>16809.87</v>
      </c>
      <c r="I28" s="34">
        <v>3444</v>
      </c>
      <c r="J28" s="34">
        <v>3648</v>
      </c>
      <c r="K28" s="35">
        <v>25</v>
      </c>
      <c r="L28" s="34">
        <v>23926.87</v>
      </c>
      <c r="M28" s="34">
        <v>96073.13</v>
      </c>
      <c r="N28" s="48" t="s">
        <v>18</v>
      </c>
      <c r="O28" s="50" t="s">
        <v>35</v>
      </c>
    </row>
    <row r="29" spans="1:15" ht="35.1" customHeight="1">
      <c r="A29" s="1" t="s">
        <v>70</v>
      </c>
      <c r="B29" s="35" t="s">
        <v>69</v>
      </c>
      <c r="C29" s="35" t="s">
        <v>61</v>
      </c>
      <c r="D29" s="35" t="s">
        <v>67</v>
      </c>
      <c r="E29" s="51">
        <v>44666</v>
      </c>
      <c r="F29" s="51">
        <v>44849</v>
      </c>
      <c r="G29" s="34">
        <v>50000</v>
      </c>
      <c r="H29" s="34">
        <v>1854</v>
      </c>
      <c r="I29" s="34">
        <v>1435</v>
      </c>
      <c r="J29" s="34">
        <v>1520</v>
      </c>
      <c r="K29" s="35">
        <v>25</v>
      </c>
      <c r="L29" s="34">
        <v>4834</v>
      </c>
      <c r="M29" s="34">
        <v>45166</v>
      </c>
      <c r="N29" s="48" t="s">
        <v>18</v>
      </c>
      <c r="O29" s="50" t="s">
        <v>35</v>
      </c>
    </row>
    <row r="30" spans="1:15" ht="35.1" customHeight="1">
      <c r="A30" s="1" t="s">
        <v>73</v>
      </c>
      <c r="B30" s="35" t="s">
        <v>71</v>
      </c>
      <c r="C30" s="35" t="s">
        <v>61</v>
      </c>
      <c r="D30" s="35" t="s">
        <v>72</v>
      </c>
      <c r="E30" s="51">
        <v>44665</v>
      </c>
      <c r="F30" s="51">
        <v>44848</v>
      </c>
      <c r="G30" s="34">
        <v>80000</v>
      </c>
      <c r="H30" s="34">
        <v>7400.87</v>
      </c>
      <c r="I30" s="34">
        <v>2296</v>
      </c>
      <c r="J30" s="34">
        <v>2432</v>
      </c>
      <c r="K30" s="35">
        <v>25</v>
      </c>
      <c r="L30" s="34">
        <v>12153.87</v>
      </c>
      <c r="M30" s="34">
        <v>67846.13</v>
      </c>
      <c r="N30" s="48" t="s">
        <v>18</v>
      </c>
      <c r="O30" s="50" t="s">
        <v>35</v>
      </c>
    </row>
    <row r="31" spans="1:15" ht="35.1" customHeight="1">
      <c r="A31" s="1" t="s">
        <v>76</v>
      </c>
      <c r="B31" s="35" t="s">
        <v>600</v>
      </c>
      <c r="C31" s="35" t="s">
        <v>61</v>
      </c>
      <c r="D31" s="35" t="s">
        <v>67</v>
      </c>
      <c r="E31" s="51">
        <v>44713</v>
      </c>
      <c r="F31" s="51">
        <v>44896</v>
      </c>
      <c r="G31" s="34">
        <v>90000</v>
      </c>
      <c r="H31" s="34">
        <v>9753.1200000000008</v>
      </c>
      <c r="I31" s="34">
        <v>2583</v>
      </c>
      <c r="J31" s="34">
        <v>2736</v>
      </c>
      <c r="K31" s="35">
        <v>10225</v>
      </c>
      <c r="L31" s="34">
        <f>+Tabla1[[#This Row],[ISR
(Ley 11-92)
(1*)]]+Tabla1[[#This Row],[Seguro 
de Pensión 
(2.87%)  
(2*)]]+Tabla1[[#This Row],[Seguro 
de Salud 
(3.04%)
 (3*)]]+Tabla1[[#This Row],[Otros
 Descuentos]]</f>
        <v>25297.120000000003</v>
      </c>
      <c r="M31" s="34">
        <f>+Tabla1[[#This Row],[Sueldo Bruto
(RD$)]]-Tabla1[[#This Row],[Total de 
Descuentos]]</f>
        <v>64702.879999999997</v>
      </c>
      <c r="N31" s="28" t="s">
        <v>18</v>
      </c>
      <c r="O31" s="50" t="s">
        <v>35</v>
      </c>
    </row>
    <row r="32" spans="1:15" ht="35.1" customHeight="1">
      <c r="A32" s="1" t="s">
        <v>79</v>
      </c>
      <c r="B32" s="35" t="s">
        <v>74</v>
      </c>
      <c r="C32" s="35" t="s">
        <v>61</v>
      </c>
      <c r="D32" s="35" t="s">
        <v>75</v>
      </c>
      <c r="E32" s="51">
        <v>44771</v>
      </c>
      <c r="F32" s="51">
        <v>44955</v>
      </c>
      <c r="G32" s="34">
        <v>80000</v>
      </c>
      <c r="H32" s="34">
        <v>7400.87</v>
      </c>
      <c r="I32" s="34">
        <v>2296</v>
      </c>
      <c r="J32" s="34">
        <v>2432</v>
      </c>
      <c r="K32" s="35">
        <v>125</v>
      </c>
      <c r="L32" s="34">
        <v>12253.87</v>
      </c>
      <c r="M32" s="34">
        <v>67746.13</v>
      </c>
      <c r="N32" s="48" t="s">
        <v>18</v>
      </c>
      <c r="O32" s="50" t="s">
        <v>35</v>
      </c>
    </row>
    <row r="33" spans="1:15" ht="35.1" customHeight="1">
      <c r="A33" s="1" t="s">
        <v>81</v>
      </c>
      <c r="B33" s="35" t="s">
        <v>77</v>
      </c>
      <c r="C33" s="35" t="s">
        <v>61</v>
      </c>
      <c r="D33" s="35" t="s">
        <v>78</v>
      </c>
      <c r="E33" s="51">
        <v>44666</v>
      </c>
      <c r="F33" s="51">
        <v>44849</v>
      </c>
      <c r="G33" s="34">
        <v>110000</v>
      </c>
      <c r="H33" s="34">
        <v>14457.62</v>
      </c>
      <c r="I33" s="34">
        <v>3157</v>
      </c>
      <c r="J33" s="34">
        <v>3344</v>
      </c>
      <c r="K33" s="35">
        <v>25</v>
      </c>
      <c r="L33" s="34">
        <v>20983.62</v>
      </c>
      <c r="M33" s="34">
        <v>89016.38</v>
      </c>
      <c r="N33" s="48" t="s">
        <v>18</v>
      </c>
      <c r="O33" s="50" t="s">
        <v>35</v>
      </c>
    </row>
    <row r="34" spans="1:15" ht="35.1" customHeight="1">
      <c r="A34" s="1" t="s">
        <v>83</v>
      </c>
      <c r="B34" s="35" t="s">
        <v>80</v>
      </c>
      <c r="C34" s="35" t="s">
        <v>61</v>
      </c>
      <c r="D34" s="35" t="s">
        <v>78</v>
      </c>
      <c r="E34" s="51">
        <v>44666</v>
      </c>
      <c r="F34" s="51">
        <v>44849</v>
      </c>
      <c r="G34" s="34">
        <v>70000</v>
      </c>
      <c r="H34" s="34">
        <v>5368.48</v>
      </c>
      <c r="I34" s="34">
        <v>2009</v>
      </c>
      <c r="J34" s="34">
        <v>2128</v>
      </c>
      <c r="K34" s="35">
        <v>25</v>
      </c>
      <c r="L34" s="34">
        <v>9530.48</v>
      </c>
      <c r="M34" s="34">
        <v>60469.52</v>
      </c>
      <c r="N34" s="48" t="s">
        <v>18</v>
      </c>
      <c r="O34" s="50" t="s">
        <v>35</v>
      </c>
    </row>
    <row r="35" spans="1:15" ht="35.1" customHeight="1">
      <c r="A35" s="1" t="s">
        <v>86</v>
      </c>
      <c r="B35" s="35" t="s">
        <v>82</v>
      </c>
      <c r="C35" s="35" t="s">
        <v>61</v>
      </c>
      <c r="D35" s="35" t="s">
        <v>78</v>
      </c>
      <c r="E35" s="51">
        <v>44727</v>
      </c>
      <c r="F35" s="51">
        <v>44910</v>
      </c>
      <c r="G35" s="34">
        <v>65000</v>
      </c>
      <c r="H35" s="34">
        <v>4427.58</v>
      </c>
      <c r="I35" s="34">
        <v>1865.5</v>
      </c>
      <c r="J35" s="34">
        <v>1976</v>
      </c>
      <c r="K35" s="35">
        <v>25</v>
      </c>
      <c r="L35" s="34">
        <v>8294.08</v>
      </c>
      <c r="M35" s="34">
        <v>56705.919999999998</v>
      </c>
      <c r="N35" s="48" t="s">
        <v>18</v>
      </c>
      <c r="O35" s="50" t="s">
        <v>35</v>
      </c>
    </row>
    <row r="36" spans="1:15" ht="35.1" customHeight="1">
      <c r="A36" s="1" t="s">
        <v>89</v>
      </c>
      <c r="B36" s="35" t="s">
        <v>84</v>
      </c>
      <c r="C36" s="35" t="s">
        <v>61</v>
      </c>
      <c r="D36" s="35" t="s">
        <v>85</v>
      </c>
      <c r="E36" s="51">
        <v>44652</v>
      </c>
      <c r="F36" s="51">
        <v>44835</v>
      </c>
      <c r="G36" s="34">
        <v>65000</v>
      </c>
      <c r="H36" s="99">
        <v>4427.58</v>
      </c>
      <c r="I36" s="34">
        <v>1865.5</v>
      </c>
      <c r="J36" s="34">
        <v>1976</v>
      </c>
      <c r="K36" s="34">
        <v>5703.02</v>
      </c>
      <c r="L36" s="34">
        <f>+Tabla1[[#This Row],[ISR
(Ley 11-92)
(1*)]]+Tabla1[[#This Row],[Seguro 
de Pensión 
(2.87%)  
(2*)]]+Tabla1[[#This Row],[Seguro 
de Salud 
(3.04%)
 (3*)]]+Tabla1[[#This Row],[Otros
 Descuentos]]</f>
        <v>13972.1</v>
      </c>
      <c r="M36" s="34">
        <f>+Tabla1[[#This Row],[Sueldo Bruto
(RD$)]]-Tabla1[[#This Row],[Total de 
Descuentos]]</f>
        <v>51027.9</v>
      </c>
      <c r="N36" s="48" t="s">
        <v>18</v>
      </c>
      <c r="O36" s="50" t="s">
        <v>35</v>
      </c>
    </row>
    <row r="37" spans="1:15" ht="35.1" customHeight="1">
      <c r="A37" s="1" t="s">
        <v>92</v>
      </c>
      <c r="B37" s="100" t="s">
        <v>87</v>
      </c>
      <c r="C37" s="100" t="s">
        <v>61</v>
      </c>
      <c r="D37" s="100" t="s">
        <v>88</v>
      </c>
      <c r="E37" s="51">
        <v>44635</v>
      </c>
      <c r="F37" s="51">
        <v>44819</v>
      </c>
      <c r="G37" s="101">
        <v>75000</v>
      </c>
      <c r="H37" s="101">
        <v>6309.38</v>
      </c>
      <c r="I37" s="101">
        <v>2152.5</v>
      </c>
      <c r="J37" s="101">
        <v>2280</v>
      </c>
      <c r="K37" s="101">
        <v>2025</v>
      </c>
      <c r="L37" s="101">
        <f>+Tabla1[[#This Row],[ISR
(Ley 11-92)
(1*)]]+Tabla1[[#This Row],[Seguro 
de Pensión 
(2.87%)  
(2*)]]+Tabla1[[#This Row],[Seguro 
de Salud 
(3.04%)
 (3*)]]+Tabla1[[#This Row],[Otros
 Descuentos]]</f>
        <v>12766.880000000001</v>
      </c>
      <c r="M37" s="101">
        <f>+Tabla1[[#This Row],[Sueldo Bruto
(RD$)]]-Tabla1[[#This Row],[Total de 
Descuentos]]</f>
        <v>62233.119999999995</v>
      </c>
      <c r="N37" s="102" t="s">
        <v>18</v>
      </c>
      <c r="O37" s="103" t="s">
        <v>19</v>
      </c>
    </row>
    <row r="38" spans="1:15" ht="35.1" customHeight="1">
      <c r="A38" s="1" t="s">
        <v>95</v>
      </c>
      <c r="B38" s="35" t="s">
        <v>90</v>
      </c>
      <c r="C38" s="35" t="s">
        <v>61</v>
      </c>
      <c r="D38" s="35" t="s">
        <v>91</v>
      </c>
      <c r="E38" s="51">
        <v>44693</v>
      </c>
      <c r="F38" s="51">
        <v>44877</v>
      </c>
      <c r="G38" s="34">
        <v>65000</v>
      </c>
      <c r="H38" s="35">
        <v>0</v>
      </c>
      <c r="I38" s="34">
        <v>1865.5</v>
      </c>
      <c r="J38" s="34">
        <v>1976</v>
      </c>
      <c r="K38" s="35">
        <v>599.84</v>
      </c>
      <c r="L38" s="34">
        <f>+Tabla1[[#This Row],[ISR
(Ley 11-92)
(1*)]]+Tabla1[[#This Row],[Seguro 
de Pensión 
(2.87%)  
(2*)]]+Tabla1[[#This Row],[Seguro 
de Salud 
(3.04%)
 (3*)]]+Tabla1[[#This Row],[Otros
 Descuentos]]</f>
        <v>4441.34</v>
      </c>
      <c r="M38" s="34">
        <f>+Tabla1[[#This Row],[Sueldo Bruto
(RD$)]]-Tabla1[[#This Row],[Total de 
Descuentos]]</f>
        <v>60558.66</v>
      </c>
      <c r="N38" s="48" t="s">
        <v>18</v>
      </c>
      <c r="O38" s="50" t="s">
        <v>35</v>
      </c>
    </row>
    <row r="39" spans="1:15" s="104" customFormat="1" ht="35.1" customHeight="1">
      <c r="A39" s="1" t="s">
        <v>98</v>
      </c>
      <c r="B39" s="35" t="s">
        <v>93</v>
      </c>
      <c r="C39" s="35" t="s">
        <v>61</v>
      </c>
      <c r="D39" s="35" t="s">
        <v>94</v>
      </c>
      <c r="E39" s="47">
        <v>44666</v>
      </c>
      <c r="F39" s="47">
        <v>44849</v>
      </c>
      <c r="G39" s="34">
        <v>30000</v>
      </c>
      <c r="H39" s="35">
        <v>0</v>
      </c>
      <c r="I39" s="35">
        <v>861</v>
      </c>
      <c r="J39" s="35">
        <v>912</v>
      </c>
      <c r="K39" s="35">
        <v>25</v>
      </c>
      <c r="L39" s="34">
        <v>1798</v>
      </c>
      <c r="M39" s="34">
        <v>28202</v>
      </c>
      <c r="N39" s="48" t="s">
        <v>18</v>
      </c>
      <c r="O39" s="50" t="s">
        <v>35</v>
      </c>
    </row>
    <row r="40" spans="1:15" s="104" customFormat="1" ht="35.1" customHeight="1">
      <c r="A40" s="1" t="s">
        <v>101</v>
      </c>
      <c r="B40" s="106" t="s">
        <v>601</v>
      </c>
      <c r="C40" s="100" t="s">
        <v>61</v>
      </c>
      <c r="D40" s="106" t="s">
        <v>94</v>
      </c>
      <c r="E40" s="98">
        <v>44713</v>
      </c>
      <c r="F40" s="98">
        <v>44896</v>
      </c>
      <c r="G40" s="107">
        <v>70000</v>
      </c>
      <c r="H40" s="107">
        <v>5368.48</v>
      </c>
      <c r="I40" s="107">
        <v>2009</v>
      </c>
      <c r="J40" s="107">
        <v>2128</v>
      </c>
      <c r="K40" s="106">
        <v>25</v>
      </c>
      <c r="L40" s="107">
        <f>+Tabla1[[#This Row],[ISR
(Ley 11-92)
(1*)]]+Tabla1[[#This Row],[Seguro 
de Pensión 
(2.87%)  
(2*)]]+Tabla1[[#This Row],[Seguro 
de Salud 
(3.04%)
 (3*)]]+Tabla1[[#This Row],[Otros
 Descuentos]]</f>
        <v>9530.48</v>
      </c>
      <c r="M40" s="107">
        <f>+Tabla1[[#This Row],[Sueldo Bruto
(RD$)]]-Tabla1[[#This Row],[Total de 
Descuentos]]</f>
        <v>60469.520000000004</v>
      </c>
      <c r="N40" s="102" t="s">
        <v>18</v>
      </c>
      <c r="O40" s="103" t="s">
        <v>35</v>
      </c>
    </row>
    <row r="41" spans="1:15" ht="35.1" customHeight="1">
      <c r="A41" s="1" t="s">
        <v>102</v>
      </c>
      <c r="B41" s="35" t="s">
        <v>96</v>
      </c>
      <c r="C41" s="35" t="s">
        <v>61</v>
      </c>
      <c r="D41" s="35" t="s">
        <v>97</v>
      </c>
      <c r="E41" s="51">
        <v>44621</v>
      </c>
      <c r="F41" s="51">
        <v>44805</v>
      </c>
      <c r="G41" s="34">
        <v>80000</v>
      </c>
      <c r="H41" s="34">
        <v>7400.87</v>
      </c>
      <c r="I41" s="34">
        <v>2296</v>
      </c>
      <c r="J41" s="34">
        <v>2432</v>
      </c>
      <c r="K41" s="35">
        <v>25</v>
      </c>
      <c r="L41" s="34">
        <v>12153.87</v>
      </c>
      <c r="M41" s="34">
        <v>67846.13</v>
      </c>
      <c r="N41" s="48" t="s">
        <v>18</v>
      </c>
      <c r="O41" s="50" t="s">
        <v>35</v>
      </c>
    </row>
    <row r="42" spans="1:15" ht="35.1" customHeight="1">
      <c r="A42" s="1" t="s">
        <v>105</v>
      </c>
      <c r="B42" s="35" t="s">
        <v>99</v>
      </c>
      <c r="C42" s="35" t="s">
        <v>61</v>
      </c>
      <c r="D42" s="35" t="s">
        <v>100</v>
      </c>
      <c r="E42" s="47">
        <v>44792</v>
      </c>
      <c r="F42" s="47">
        <v>44976</v>
      </c>
      <c r="G42" s="34">
        <v>60000</v>
      </c>
      <c r="H42" s="34">
        <v>3486.68</v>
      </c>
      <c r="I42" s="34">
        <v>1722</v>
      </c>
      <c r="J42" s="34">
        <v>1824</v>
      </c>
      <c r="K42" s="34">
        <v>6125</v>
      </c>
      <c r="L42" s="34">
        <v>13157.68</v>
      </c>
      <c r="M42" s="34">
        <v>46842.32</v>
      </c>
      <c r="N42" s="48" t="s">
        <v>18</v>
      </c>
      <c r="O42" s="50" t="s">
        <v>35</v>
      </c>
    </row>
    <row r="43" spans="1:15" ht="35.1" customHeight="1">
      <c r="A43" s="1" t="s">
        <v>109</v>
      </c>
      <c r="B43" s="35" t="s">
        <v>103</v>
      </c>
      <c r="C43" s="35" t="s">
        <v>61</v>
      </c>
      <c r="D43" s="35" t="s">
        <v>104</v>
      </c>
      <c r="E43" s="51">
        <v>44796</v>
      </c>
      <c r="F43" s="51">
        <v>44980</v>
      </c>
      <c r="G43" s="34">
        <v>42000</v>
      </c>
      <c r="H43" s="35">
        <v>0</v>
      </c>
      <c r="I43" s="34">
        <v>1205.4000000000001</v>
      </c>
      <c r="J43" s="34">
        <v>1276.8</v>
      </c>
      <c r="K43" s="35">
        <v>25</v>
      </c>
      <c r="L43" s="34">
        <v>2507.1999999999998</v>
      </c>
      <c r="M43" s="34">
        <v>39492.800000000003</v>
      </c>
      <c r="N43" s="48" t="s">
        <v>18</v>
      </c>
      <c r="O43" s="50" t="s">
        <v>35</v>
      </c>
    </row>
    <row r="44" spans="1:15" ht="35.1" customHeight="1">
      <c r="A44" s="1" t="s">
        <v>112</v>
      </c>
      <c r="B44" s="100" t="s">
        <v>106</v>
      </c>
      <c r="C44" s="100" t="s">
        <v>107</v>
      </c>
      <c r="D44" s="100" t="s">
        <v>108</v>
      </c>
      <c r="E44" s="51">
        <v>44634</v>
      </c>
      <c r="F44" s="51">
        <v>44818</v>
      </c>
      <c r="G44" s="101">
        <v>135000</v>
      </c>
      <c r="H44" s="101">
        <v>19663.18</v>
      </c>
      <c r="I44" s="101">
        <v>3874.5</v>
      </c>
      <c r="J44" s="101">
        <v>4104</v>
      </c>
      <c r="K44" s="101">
        <v>4225.24</v>
      </c>
      <c r="L44" s="101">
        <v>31866.92</v>
      </c>
      <c r="M44" s="101">
        <v>103133.08</v>
      </c>
      <c r="N44" s="102" t="s">
        <v>18</v>
      </c>
      <c r="O44" s="103" t="s">
        <v>19</v>
      </c>
    </row>
    <row r="45" spans="1:15" s="104" customFormat="1" ht="35.1" customHeight="1">
      <c r="A45" s="1" t="s">
        <v>115</v>
      </c>
      <c r="B45" s="100" t="s">
        <v>110</v>
      </c>
      <c r="C45" s="100" t="s">
        <v>107</v>
      </c>
      <c r="D45" s="100" t="s">
        <v>111</v>
      </c>
      <c r="E45" s="51">
        <v>44636</v>
      </c>
      <c r="F45" s="51">
        <v>44820</v>
      </c>
      <c r="G45" s="101">
        <v>100000</v>
      </c>
      <c r="H45" s="101">
        <v>12105.37</v>
      </c>
      <c r="I45" s="101">
        <v>2870</v>
      </c>
      <c r="J45" s="101">
        <v>3040</v>
      </c>
      <c r="K45" s="101">
        <v>9038.69</v>
      </c>
      <c r="L45" s="101">
        <f>+Tabla1[[#This Row],[ISR
(Ley 11-92)
(1*)]]+Tabla1[[#This Row],[Seguro 
de Pensión 
(2.87%)  
(2*)]]+Tabla1[[#This Row],[Seguro 
de Salud 
(3.04%)
 (3*)]]+Tabla1[[#This Row],[Otros
 Descuentos]]</f>
        <v>27054.060000000005</v>
      </c>
      <c r="M45" s="101">
        <f>+Tabla1[[#This Row],[Sueldo Bruto
(RD$)]]-Tabla1[[#This Row],[Total de 
Descuentos]]</f>
        <v>72945.94</v>
      </c>
      <c r="N45" s="102" t="s">
        <v>18</v>
      </c>
      <c r="O45" s="103" t="s">
        <v>19</v>
      </c>
    </row>
    <row r="46" spans="1:15" s="104" customFormat="1" ht="35.1" customHeight="1">
      <c r="A46" s="1" t="s">
        <v>118</v>
      </c>
      <c r="B46" s="35" t="s">
        <v>113</v>
      </c>
      <c r="C46" s="35" t="s">
        <v>107</v>
      </c>
      <c r="D46" s="35" t="s">
        <v>114</v>
      </c>
      <c r="E46" s="51">
        <v>44621</v>
      </c>
      <c r="F46" s="51">
        <v>44805</v>
      </c>
      <c r="G46" s="34">
        <v>80000</v>
      </c>
      <c r="H46" s="34">
        <v>7063.34</v>
      </c>
      <c r="I46" s="34">
        <v>2296</v>
      </c>
      <c r="J46" s="34">
        <v>2432</v>
      </c>
      <c r="K46" s="34">
        <v>18751.8</v>
      </c>
      <c r="L46" s="34">
        <f>+Tabla1[[#This Row],[ISR
(Ley 11-92)
(1*)]]+Tabla1[[#This Row],[Seguro 
de Pensión 
(2.87%)  
(2*)]]+Tabla1[[#This Row],[Seguro 
de Salud 
(3.04%)
 (3*)]]+Tabla1[[#This Row],[Otros
 Descuentos]]</f>
        <v>30543.14</v>
      </c>
      <c r="M46" s="34">
        <f>+Tabla1[[#This Row],[Sueldo Bruto
(RD$)]]-Tabla1[[#This Row],[Total de 
Descuentos]]</f>
        <v>49456.86</v>
      </c>
      <c r="N46" s="48" t="s">
        <v>18</v>
      </c>
      <c r="O46" s="50" t="s">
        <v>19</v>
      </c>
    </row>
    <row r="47" spans="1:15" s="104" customFormat="1" ht="35.1" customHeight="1">
      <c r="A47" s="1" t="s">
        <v>121</v>
      </c>
      <c r="B47" s="35" t="s">
        <v>116</v>
      </c>
      <c r="C47" s="35" t="s">
        <v>107</v>
      </c>
      <c r="D47" s="35" t="s">
        <v>117</v>
      </c>
      <c r="E47" s="51">
        <v>44682</v>
      </c>
      <c r="F47" s="51">
        <v>44866</v>
      </c>
      <c r="G47" s="34">
        <v>65000</v>
      </c>
      <c r="H47" s="34">
        <v>4427.58</v>
      </c>
      <c r="I47" s="34">
        <v>1865.5</v>
      </c>
      <c r="J47" s="34">
        <v>1976</v>
      </c>
      <c r="K47" s="35">
        <v>599.84</v>
      </c>
      <c r="L47" s="34">
        <f>+Tabla1[[#This Row],[ISR
(Ley 11-92)
(1*)]]+Tabla1[[#This Row],[Seguro 
de Pensión 
(2.87%)  
(2*)]]+Tabla1[[#This Row],[Seguro 
de Salud 
(3.04%)
 (3*)]]+Tabla1[[#This Row],[Otros
 Descuentos]]</f>
        <v>8868.92</v>
      </c>
      <c r="M47" s="34">
        <f>+Tabla1[[#This Row],[Sueldo Bruto
(RD$)]]-Tabla1[[#This Row],[Total de 
Descuentos]]</f>
        <v>56131.08</v>
      </c>
      <c r="N47" s="48" t="s">
        <v>18</v>
      </c>
      <c r="O47" s="50" t="s">
        <v>19</v>
      </c>
    </row>
    <row r="48" spans="1:15" s="104" customFormat="1" ht="35.1" customHeight="1">
      <c r="A48" s="1" t="s">
        <v>125</v>
      </c>
      <c r="B48" s="35" t="s">
        <v>119</v>
      </c>
      <c r="C48" s="35" t="s">
        <v>107</v>
      </c>
      <c r="D48" s="35" t="s">
        <v>120</v>
      </c>
      <c r="E48" s="51">
        <v>44713</v>
      </c>
      <c r="F48" s="51">
        <v>44896</v>
      </c>
      <c r="G48" s="34">
        <v>65000</v>
      </c>
      <c r="H48" s="34">
        <v>4427.58</v>
      </c>
      <c r="I48" s="34">
        <v>1865.5</v>
      </c>
      <c r="J48" s="34">
        <v>1976</v>
      </c>
      <c r="K48" s="34">
        <v>2125</v>
      </c>
      <c r="L48" s="34">
        <f>+Tabla1[[#This Row],[ISR
(Ley 11-92)
(1*)]]+Tabla1[[#This Row],[Seguro 
de Pensión 
(2.87%)  
(2*)]]+Tabla1[[#This Row],[Seguro 
de Salud 
(3.04%)
 (3*)]]+Tabla1[[#This Row],[Otros
 Descuentos]]</f>
        <v>10394.08</v>
      </c>
      <c r="M48" s="34">
        <f>+Tabla1[[#This Row],[Sueldo Bruto
(RD$)]]-Tabla1[[#This Row],[Total de 
Descuentos]]</f>
        <v>54605.919999999998</v>
      </c>
      <c r="N48" s="48" t="s">
        <v>18</v>
      </c>
      <c r="O48" s="50" t="s">
        <v>19</v>
      </c>
    </row>
    <row r="49" spans="1:15" ht="35.1" customHeight="1">
      <c r="A49" s="1" t="s">
        <v>127</v>
      </c>
      <c r="B49" s="35" t="s">
        <v>122</v>
      </c>
      <c r="C49" s="35" t="s">
        <v>123</v>
      </c>
      <c r="D49" s="35" t="s">
        <v>124</v>
      </c>
      <c r="E49" s="51">
        <v>44627</v>
      </c>
      <c r="F49" s="51">
        <v>44811</v>
      </c>
      <c r="G49" s="34">
        <v>135000</v>
      </c>
      <c r="H49" s="34">
        <v>20338.240000000002</v>
      </c>
      <c r="I49" s="34">
        <v>3874.5</v>
      </c>
      <c r="J49" s="34">
        <v>4104</v>
      </c>
      <c r="K49" s="35">
        <v>25</v>
      </c>
      <c r="L49" s="34">
        <v>28341.74</v>
      </c>
      <c r="M49" s="34">
        <v>106658.26</v>
      </c>
      <c r="N49" s="48" t="s">
        <v>18</v>
      </c>
      <c r="O49" s="50" t="s">
        <v>35</v>
      </c>
    </row>
    <row r="50" spans="1:15" ht="35.1" customHeight="1">
      <c r="A50" s="1" t="s">
        <v>130</v>
      </c>
      <c r="B50" s="35" t="s">
        <v>126</v>
      </c>
      <c r="C50" s="35" t="s">
        <v>123</v>
      </c>
      <c r="D50" s="35" t="s">
        <v>64</v>
      </c>
      <c r="E50" s="51">
        <v>44719</v>
      </c>
      <c r="F50" s="51">
        <v>44902</v>
      </c>
      <c r="G50" s="34">
        <v>125000</v>
      </c>
      <c r="H50" s="34">
        <v>17985.990000000002</v>
      </c>
      <c r="I50" s="34">
        <v>3587.5</v>
      </c>
      <c r="J50" s="34">
        <v>3800</v>
      </c>
      <c r="K50" s="34">
        <v>3868.05</v>
      </c>
      <c r="L50" s="34">
        <v>29241.54</v>
      </c>
      <c r="M50" s="34">
        <v>95758.46</v>
      </c>
      <c r="N50" s="48" t="s">
        <v>18</v>
      </c>
      <c r="O50" s="50" t="s">
        <v>19</v>
      </c>
    </row>
    <row r="51" spans="1:15" ht="35.1" customHeight="1">
      <c r="A51" s="1" t="s">
        <v>132</v>
      </c>
      <c r="B51" s="35" t="s">
        <v>128</v>
      </c>
      <c r="C51" s="35" t="s">
        <v>123</v>
      </c>
      <c r="D51" s="35" t="s">
        <v>129</v>
      </c>
      <c r="E51" s="51">
        <v>44627</v>
      </c>
      <c r="F51" s="51">
        <v>44811</v>
      </c>
      <c r="G51" s="34">
        <v>110000</v>
      </c>
      <c r="H51" s="34">
        <v>14457.62</v>
      </c>
      <c r="I51" s="34">
        <v>3157</v>
      </c>
      <c r="J51" s="34">
        <v>3344</v>
      </c>
      <c r="K51" s="35">
        <v>25</v>
      </c>
      <c r="L51" s="34">
        <v>20983.62</v>
      </c>
      <c r="M51" s="34">
        <v>89016.38</v>
      </c>
      <c r="N51" s="48" t="s">
        <v>18</v>
      </c>
      <c r="O51" s="50" t="s">
        <v>19</v>
      </c>
    </row>
    <row r="52" spans="1:15" ht="35.1" customHeight="1">
      <c r="A52" s="1" t="s">
        <v>134</v>
      </c>
      <c r="B52" s="35" t="s">
        <v>131</v>
      </c>
      <c r="C52" s="35" t="s">
        <v>123</v>
      </c>
      <c r="D52" s="35" t="s">
        <v>43</v>
      </c>
      <c r="E52" s="47">
        <v>44652</v>
      </c>
      <c r="F52" s="47">
        <v>44835</v>
      </c>
      <c r="G52" s="34">
        <v>65000</v>
      </c>
      <c r="H52" s="99">
        <v>2996.83</v>
      </c>
      <c r="I52" s="34">
        <v>1865.5</v>
      </c>
      <c r="J52" s="34">
        <v>1976</v>
      </c>
      <c r="K52" s="34">
        <v>6529.12</v>
      </c>
      <c r="L52" s="34">
        <f>+Tabla1[[#This Row],[ISR
(Ley 11-92)
(1*)]]+Tabla1[[#This Row],[Seguro 
de Pensión 
(2.87%)  
(2*)]]+Tabla1[[#This Row],[Otros
 Descuentos]]+Tabla1[[#This Row],[Seguro 
de Salud 
(3.04%)
 (3*)]]</f>
        <v>13367.45</v>
      </c>
      <c r="M52" s="34">
        <f>+Tabla1[[#This Row],[Sueldo Bruto
(RD$)]]-Tabla1[[#This Row],[Total de 
Descuentos]]</f>
        <v>51632.55</v>
      </c>
      <c r="N52" s="48" t="s">
        <v>18</v>
      </c>
      <c r="O52" s="50" t="s">
        <v>35</v>
      </c>
    </row>
    <row r="53" spans="1:15" ht="35.1" customHeight="1">
      <c r="A53" s="1" t="s">
        <v>136</v>
      </c>
      <c r="B53" s="35" t="s">
        <v>133</v>
      </c>
      <c r="C53" s="35" t="s">
        <v>123</v>
      </c>
      <c r="D53" s="35" t="s">
        <v>94</v>
      </c>
      <c r="E53" s="51">
        <v>44697</v>
      </c>
      <c r="F53" s="51">
        <v>44881</v>
      </c>
      <c r="G53" s="34">
        <v>65000</v>
      </c>
      <c r="H53" s="35">
        <v>0</v>
      </c>
      <c r="I53" s="34">
        <v>1865.5</v>
      </c>
      <c r="J53" s="34">
        <v>1976</v>
      </c>
      <c r="K53" s="35">
        <v>125</v>
      </c>
      <c r="L53" s="34">
        <v>3966.5</v>
      </c>
      <c r="M53" s="34">
        <v>61033.5</v>
      </c>
      <c r="N53" s="48" t="s">
        <v>18</v>
      </c>
      <c r="O53" s="50" t="s">
        <v>19</v>
      </c>
    </row>
    <row r="54" spans="1:15" ht="35.1" customHeight="1">
      <c r="A54" s="1" t="s">
        <v>140</v>
      </c>
      <c r="B54" s="35" t="s">
        <v>135</v>
      </c>
      <c r="C54" s="35" t="s">
        <v>123</v>
      </c>
      <c r="D54" s="35" t="s">
        <v>94</v>
      </c>
      <c r="E54" s="51">
        <v>44713</v>
      </c>
      <c r="F54" s="51">
        <v>44896</v>
      </c>
      <c r="G54" s="34">
        <v>65000</v>
      </c>
      <c r="H54" s="34">
        <v>4427.58</v>
      </c>
      <c r="I54" s="34">
        <v>1865.5</v>
      </c>
      <c r="J54" s="34">
        <v>1976</v>
      </c>
      <c r="K54" s="35">
        <v>25</v>
      </c>
      <c r="L54" s="34">
        <v>8294.08</v>
      </c>
      <c r="M54" s="34">
        <v>56705.919999999998</v>
      </c>
      <c r="N54" s="48" t="s">
        <v>18</v>
      </c>
      <c r="O54" s="50" t="s">
        <v>35</v>
      </c>
    </row>
    <row r="55" spans="1:15" ht="35.1" customHeight="1">
      <c r="A55" s="1" t="s">
        <v>143</v>
      </c>
      <c r="B55" s="35" t="s">
        <v>137</v>
      </c>
      <c r="C55" s="35" t="s">
        <v>138</v>
      </c>
      <c r="D55" s="35" t="s">
        <v>139</v>
      </c>
      <c r="E55" s="51">
        <v>44761</v>
      </c>
      <c r="F55" s="51">
        <v>44945</v>
      </c>
      <c r="G55" s="34">
        <v>150000</v>
      </c>
      <c r="H55" s="34">
        <v>23866.62</v>
      </c>
      <c r="I55" s="34">
        <v>4305</v>
      </c>
      <c r="J55" s="34">
        <v>4560</v>
      </c>
      <c r="K55" s="35">
        <v>25</v>
      </c>
      <c r="L55" s="34">
        <v>32756.62</v>
      </c>
      <c r="M55" s="34">
        <v>117243.38</v>
      </c>
      <c r="N55" s="48" t="s">
        <v>18</v>
      </c>
      <c r="O55" s="50" t="s">
        <v>19</v>
      </c>
    </row>
    <row r="56" spans="1:15" ht="35.1" customHeight="1">
      <c r="A56" s="1" t="s">
        <v>146</v>
      </c>
      <c r="B56" s="35" t="s">
        <v>141</v>
      </c>
      <c r="C56" s="35" t="s">
        <v>138</v>
      </c>
      <c r="D56" s="35" t="s">
        <v>142</v>
      </c>
      <c r="E56" s="51">
        <v>44677</v>
      </c>
      <c r="F56" s="51">
        <v>44860</v>
      </c>
      <c r="G56" s="34">
        <v>80000</v>
      </c>
      <c r="H56" s="34">
        <v>7400.87</v>
      </c>
      <c r="I56" s="34">
        <v>2296</v>
      </c>
      <c r="J56" s="34">
        <v>2432</v>
      </c>
      <c r="K56" s="35">
        <v>25</v>
      </c>
      <c r="L56" s="34">
        <f>+Tabla1[[#This Row],[ISR
(Ley 11-92)
(1*)]]+Tabla1[[#This Row],[Seguro 
de Pensión 
(2.87%)  
(2*)]]+Tabla1[[#This Row],[Seguro 
de Salud 
(3.04%)
 (3*)]]+Tabla1[[#This Row],[Otros
 Descuentos]]</f>
        <v>12153.869999999999</v>
      </c>
      <c r="M56" s="34">
        <f>+Tabla1[[#This Row],[Sueldo Bruto
(RD$)]]-Tabla1[[#This Row],[Total de 
Descuentos]]</f>
        <v>67846.13</v>
      </c>
      <c r="N56" s="48" t="s">
        <v>18</v>
      </c>
      <c r="O56" s="50" t="s">
        <v>19</v>
      </c>
    </row>
    <row r="57" spans="1:15" ht="35.1" customHeight="1">
      <c r="A57" s="1" t="s">
        <v>150</v>
      </c>
      <c r="B57" s="35" t="s">
        <v>144</v>
      </c>
      <c r="C57" s="35" t="s">
        <v>138</v>
      </c>
      <c r="D57" s="35" t="s">
        <v>145</v>
      </c>
      <c r="E57" s="51">
        <v>44713</v>
      </c>
      <c r="F57" s="51">
        <v>44896</v>
      </c>
      <c r="G57" s="34">
        <v>65000</v>
      </c>
      <c r="H57" s="34">
        <v>4157.55</v>
      </c>
      <c r="I57" s="34">
        <v>1865.5</v>
      </c>
      <c r="J57" s="34">
        <v>1976</v>
      </c>
      <c r="K57" s="34">
        <v>1475.12</v>
      </c>
      <c r="L57" s="34">
        <v>9474.17</v>
      </c>
      <c r="M57" s="34">
        <v>55525.83</v>
      </c>
      <c r="N57" s="48" t="s">
        <v>18</v>
      </c>
      <c r="O57" s="50" t="s">
        <v>35</v>
      </c>
    </row>
    <row r="58" spans="1:15" ht="35.1" customHeight="1">
      <c r="A58" s="1" t="s">
        <v>154</v>
      </c>
      <c r="B58" s="35" t="s">
        <v>147</v>
      </c>
      <c r="C58" s="35" t="s">
        <v>148</v>
      </c>
      <c r="D58" s="35" t="s">
        <v>149</v>
      </c>
      <c r="E58" s="51">
        <v>44634</v>
      </c>
      <c r="F58" s="51">
        <v>44818</v>
      </c>
      <c r="G58" s="34">
        <v>95000</v>
      </c>
      <c r="H58" s="34">
        <v>10254.18</v>
      </c>
      <c r="I58" s="34">
        <v>2726.5</v>
      </c>
      <c r="J58" s="34">
        <v>2888</v>
      </c>
      <c r="K58" s="34">
        <v>5794.49</v>
      </c>
      <c r="L58" s="34">
        <v>21663.17</v>
      </c>
      <c r="M58" s="34">
        <v>73336.83</v>
      </c>
      <c r="N58" s="48" t="s">
        <v>18</v>
      </c>
      <c r="O58" s="50" t="s">
        <v>35</v>
      </c>
    </row>
    <row r="59" spans="1:15" ht="35.1" customHeight="1">
      <c r="A59" s="1" t="s">
        <v>157</v>
      </c>
      <c r="B59" s="35" t="s">
        <v>151</v>
      </c>
      <c r="C59" s="35" t="s">
        <v>152</v>
      </c>
      <c r="D59" s="35" t="s">
        <v>153</v>
      </c>
      <c r="E59" s="47">
        <v>44772</v>
      </c>
      <c r="F59" s="47">
        <v>44956</v>
      </c>
      <c r="G59" s="34">
        <v>65000</v>
      </c>
      <c r="H59" s="99">
        <v>4427.58</v>
      </c>
      <c r="I59" s="34">
        <v>1865.5</v>
      </c>
      <c r="J59" s="34">
        <v>1976</v>
      </c>
      <c r="K59" s="35">
        <v>25</v>
      </c>
      <c r="L59" s="34">
        <f>+Tabla1[[#This Row],[ISR
(Ley 11-92)
(1*)]]+Tabla1[[#This Row],[Seguro 
de Pensión 
(2.87%)  
(2*)]]+Tabla1[[#This Row],[Seguro 
de Salud 
(3.04%)
 (3*)]]+Tabla1[[#This Row],[Otros
 Descuentos]]</f>
        <v>8294.08</v>
      </c>
      <c r="M59" s="34">
        <f>+Tabla1[[#This Row],[Sueldo Bruto
(RD$)]]-Tabla1[[#This Row],[Total de 
Descuentos]]</f>
        <v>56705.919999999998</v>
      </c>
      <c r="N59" s="48" t="s">
        <v>18</v>
      </c>
      <c r="O59" s="50" t="s">
        <v>35</v>
      </c>
    </row>
    <row r="60" spans="1:15" ht="35.1" customHeight="1">
      <c r="A60" s="1" t="s">
        <v>161</v>
      </c>
      <c r="B60" s="35" t="s">
        <v>155</v>
      </c>
      <c r="C60" s="35" t="s">
        <v>152</v>
      </c>
      <c r="D60" s="35" t="s">
        <v>156</v>
      </c>
      <c r="E60" s="51">
        <v>44640</v>
      </c>
      <c r="F60" s="51">
        <v>44824</v>
      </c>
      <c r="G60" s="34">
        <v>65000</v>
      </c>
      <c r="H60" s="35">
        <v>0</v>
      </c>
      <c r="I60" s="34">
        <v>1865.5</v>
      </c>
      <c r="J60" s="34">
        <v>1976</v>
      </c>
      <c r="K60" s="34">
        <v>3094.25</v>
      </c>
      <c r="L60" s="34">
        <v>6935.75</v>
      </c>
      <c r="M60" s="34">
        <v>58064.25</v>
      </c>
      <c r="N60" s="48" t="s">
        <v>18</v>
      </c>
      <c r="O60" s="50" t="s">
        <v>35</v>
      </c>
    </row>
    <row r="61" spans="1:15" ht="35.1" customHeight="1">
      <c r="A61" s="1" t="s">
        <v>163</v>
      </c>
      <c r="B61" s="35" t="s">
        <v>158</v>
      </c>
      <c r="C61" s="35" t="s">
        <v>159</v>
      </c>
      <c r="D61" s="35" t="s">
        <v>160</v>
      </c>
      <c r="E61" s="51">
        <v>44682</v>
      </c>
      <c r="F61" s="51">
        <v>44866</v>
      </c>
      <c r="G61" s="34">
        <v>65000</v>
      </c>
      <c r="H61" s="34">
        <v>4427.58</v>
      </c>
      <c r="I61" s="34">
        <v>1865.5</v>
      </c>
      <c r="J61" s="34">
        <v>1976</v>
      </c>
      <c r="K61" s="35">
        <v>25</v>
      </c>
      <c r="L61" s="34">
        <v>8294.08</v>
      </c>
      <c r="M61" s="34">
        <v>56705.919999999998</v>
      </c>
      <c r="N61" s="48" t="s">
        <v>18</v>
      </c>
      <c r="O61" s="50" t="s">
        <v>19</v>
      </c>
    </row>
    <row r="62" spans="1:15" ht="35.1" customHeight="1">
      <c r="A62" s="1" t="s">
        <v>166</v>
      </c>
      <c r="B62" s="35" t="s">
        <v>162</v>
      </c>
      <c r="C62" s="35" t="s">
        <v>159</v>
      </c>
      <c r="D62" s="35" t="s">
        <v>38</v>
      </c>
      <c r="E62" s="51">
        <v>44682</v>
      </c>
      <c r="F62" s="51">
        <v>44866</v>
      </c>
      <c r="G62" s="34">
        <v>65000</v>
      </c>
      <c r="H62" s="35">
        <v>0</v>
      </c>
      <c r="I62" s="34">
        <v>1865.5</v>
      </c>
      <c r="J62" s="34">
        <v>1976</v>
      </c>
      <c r="K62" s="35">
        <v>1019.84</v>
      </c>
      <c r="L62" s="34">
        <f>+Tabla1[[#This Row],[ISR
(Ley 11-92)
(1*)]]+Tabla1[[#This Row],[Seguro 
de Pensión 
(2.87%)  
(2*)]]+Tabla1[[#This Row],[Seguro 
de Salud 
(3.04%)
 (3*)]]+Tabla1[[#This Row],[Otros
 Descuentos]]</f>
        <v>4861.34</v>
      </c>
      <c r="M62" s="34">
        <f>+Tabla1[[#This Row],[Sueldo Bruto
(RD$)]]-Tabla1[[#This Row],[Total de 
Descuentos]]</f>
        <v>60138.66</v>
      </c>
      <c r="N62" s="48" t="s">
        <v>18</v>
      </c>
      <c r="O62" s="50" t="s">
        <v>19</v>
      </c>
    </row>
    <row r="63" spans="1:15" ht="35.1" customHeight="1">
      <c r="A63" s="1" t="s">
        <v>168</v>
      </c>
      <c r="B63" s="35" t="s">
        <v>164</v>
      </c>
      <c r="C63" s="35" t="s">
        <v>159</v>
      </c>
      <c r="D63" s="35" t="s">
        <v>165</v>
      </c>
      <c r="E63" s="51">
        <v>44652</v>
      </c>
      <c r="F63" s="51">
        <v>44844</v>
      </c>
      <c r="G63" s="34">
        <v>65000</v>
      </c>
      <c r="H63" s="35">
        <v>0</v>
      </c>
      <c r="I63" s="34">
        <v>1865.5</v>
      </c>
      <c r="J63" s="34">
        <v>1976</v>
      </c>
      <c r="K63" s="35">
        <v>25</v>
      </c>
      <c r="L63" s="34">
        <v>3866.5</v>
      </c>
      <c r="M63" s="34">
        <v>61133.5</v>
      </c>
      <c r="N63" s="48" t="s">
        <v>18</v>
      </c>
      <c r="O63" s="50" t="s">
        <v>19</v>
      </c>
    </row>
    <row r="64" spans="1:15" ht="35.1" customHeight="1">
      <c r="A64" s="1" t="s">
        <v>171</v>
      </c>
      <c r="B64" s="35" t="s">
        <v>167</v>
      </c>
      <c r="C64" s="35" t="s">
        <v>159</v>
      </c>
      <c r="D64" s="35" t="s">
        <v>160</v>
      </c>
      <c r="E64" s="51">
        <v>44696</v>
      </c>
      <c r="F64" s="51">
        <v>44880</v>
      </c>
      <c r="G64" s="34">
        <v>65000</v>
      </c>
      <c r="H64" s="34">
        <v>4427.58</v>
      </c>
      <c r="I64" s="34">
        <v>1865.5</v>
      </c>
      <c r="J64" s="34">
        <v>1976</v>
      </c>
      <c r="K64" s="35">
        <v>25</v>
      </c>
      <c r="L64" s="34">
        <v>8294.08</v>
      </c>
      <c r="M64" s="34">
        <v>56705.919999999998</v>
      </c>
      <c r="N64" s="48" t="s">
        <v>18</v>
      </c>
      <c r="O64" s="50" t="s">
        <v>19</v>
      </c>
    </row>
    <row r="65" spans="1:15" ht="35.1" customHeight="1">
      <c r="A65" s="1" t="s">
        <v>173</v>
      </c>
      <c r="B65" s="35" t="s">
        <v>169</v>
      </c>
      <c r="C65" s="35" t="s">
        <v>159</v>
      </c>
      <c r="D65" s="35" t="s">
        <v>170</v>
      </c>
      <c r="E65" s="51">
        <v>44747</v>
      </c>
      <c r="F65" s="47">
        <v>44931</v>
      </c>
      <c r="G65" s="34">
        <v>42000</v>
      </c>
      <c r="H65" s="35">
        <v>0</v>
      </c>
      <c r="I65" s="34">
        <v>1205.4000000000001</v>
      </c>
      <c r="J65" s="34">
        <v>1276.8</v>
      </c>
      <c r="K65" s="35">
        <v>25</v>
      </c>
      <c r="L65" s="34">
        <v>2507.1999999999998</v>
      </c>
      <c r="M65" s="34">
        <v>39492.800000000003</v>
      </c>
      <c r="N65" s="48" t="s">
        <v>18</v>
      </c>
      <c r="O65" s="50" t="s">
        <v>35</v>
      </c>
    </row>
    <row r="66" spans="1:15" ht="35.1" customHeight="1">
      <c r="A66" s="1" t="s">
        <v>176</v>
      </c>
      <c r="B66" s="35" t="s">
        <v>172</v>
      </c>
      <c r="C66" s="35" t="s">
        <v>159</v>
      </c>
      <c r="D66" s="35" t="s">
        <v>170</v>
      </c>
      <c r="E66" s="47">
        <v>44652</v>
      </c>
      <c r="F66" s="47">
        <v>44835</v>
      </c>
      <c r="G66" s="34">
        <v>42000</v>
      </c>
      <c r="H66" s="35">
        <v>0</v>
      </c>
      <c r="I66" s="34">
        <v>1205.4000000000001</v>
      </c>
      <c r="J66" s="34">
        <v>1276.8</v>
      </c>
      <c r="K66" s="35">
        <v>445</v>
      </c>
      <c r="L66" s="34">
        <v>2927.2</v>
      </c>
      <c r="M66" s="34">
        <v>39072.800000000003</v>
      </c>
      <c r="N66" s="48" t="s">
        <v>18</v>
      </c>
      <c r="O66" s="50" t="s">
        <v>19</v>
      </c>
    </row>
    <row r="67" spans="1:15" ht="35.1" customHeight="1">
      <c r="A67" s="1" t="s">
        <v>179</v>
      </c>
      <c r="B67" s="35" t="s">
        <v>174</v>
      </c>
      <c r="C67" s="35" t="s">
        <v>159</v>
      </c>
      <c r="D67" s="35" t="s">
        <v>175</v>
      </c>
      <c r="E67" s="47">
        <v>44757</v>
      </c>
      <c r="F67" s="47">
        <v>44941</v>
      </c>
      <c r="G67" s="34">
        <v>60000</v>
      </c>
      <c r="H67" s="35">
        <v>0</v>
      </c>
      <c r="I67" s="34">
        <v>1722</v>
      </c>
      <c r="J67" s="34">
        <v>1824</v>
      </c>
      <c r="K67" s="34">
        <v>2725.24</v>
      </c>
      <c r="L67" s="34">
        <v>6271.24</v>
      </c>
      <c r="M67" s="34">
        <v>53728.76</v>
      </c>
      <c r="N67" s="48" t="s">
        <v>18</v>
      </c>
      <c r="O67" s="50" t="s">
        <v>35</v>
      </c>
    </row>
    <row r="68" spans="1:15" ht="35.1" customHeight="1">
      <c r="A68" s="1" t="s">
        <v>182</v>
      </c>
      <c r="B68" s="106" t="s">
        <v>457</v>
      </c>
      <c r="C68" s="100" t="s">
        <v>178</v>
      </c>
      <c r="D68" s="106" t="s">
        <v>64</v>
      </c>
      <c r="E68" s="105">
        <v>44713</v>
      </c>
      <c r="F68" s="105">
        <v>44896</v>
      </c>
      <c r="G68" s="107">
        <v>125000</v>
      </c>
      <c r="H68" s="107">
        <v>20000.78</v>
      </c>
      <c r="I68" s="119">
        <v>3587.5</v>
      </c>
      <c r="J68" s="107">
        <v>3800</v>
      </c>
      <c r="K68" s="107">
        <v>1375.12</v>
      </c>
      <c r="L68" s="107">
        <v>28763.4</v>
      </c>
      <c r="M68" s="107">
        <v>96236.6</v>
      </c>
      <c r="N68" s="108" t="s">
        <v>18</v>
      </c>
      <c r="O68" s="109" t="s">
        <v>19</v>
      </c>
    </row>
    <row r="69" spans="1:15" ht="35.1" customHeight="1">
      <c r="A69" s="1" t="s">
        <v>184</v>
      </c>
      <c r="B69" s="35" t="s">
        <v>177</v>
      </c>
      <c r="C69" s="35" t="s">
        <v>178</v>
      </c>
      <c r="D69" s="35" t="s">
        <v>17</v>
      </c>
      <c r="E69" s="47">
        <v>44682</v>
      </c>
      <c r="F69" s="47">
        <v>44866</v>
      </c>
      <c r="G69" s="34">
        <v>100000</v>
      </c>
      <c r="H69" s="34">
        <v>12105.37</v>
      </c>
      <c r="I69" s="34">
        <v>2870</v>
      </c>
      <c r="J69" s="34">
        <v>3040</v>
      </c>
      <c r="K69" s="34">
        <v>1025</v>
      </c>
      <c r="L69" s="34">
        <v>19040.37</v>
      </c>
      <c r="M69" s="34">
        <v>80959.63</v>
      </c>
      <c r="N69" s="48" t="s">
        <v>18</v>
      </c>
      <c r="O69" s="50" t="s">
        <v>19</v>
      </c>
    </row>
    <row r="70" spans="1:15" ht="35.1" customHeight="1">
      <c r="A70" s="1" t="s">
        <v>186</v>
      </c>
      <c r="B70" s="35" t="s">
        <v>180</v>
      </c>
      <c r="C70" s="35" t="s">
        <v>178</v>
      </c>
      <c r="D70" s="35" t="s">
        <v>181</v>
      </c>
      <c r="E70" s="51">
        <v>44682</v>
      </c>
      <c r="F70" s="51">
        <v>44866</v>
      </c>
      <c r="G70" s="34">
        <v>65000</v>
      </c>
      <c r="H70" s="99">
        <v>4427.58</v>
      </c>
      <c r="I70" s="34">
        <v>1865.5</v>
      </c>
      <c r="J70" s="34">
        <v>1976</v>
      </c>
      <c r="K70" s="34">
        <v>1174.68</v>
      </c>
      <c r="L70" s="34">
        <f>+Tabla1[[#This Row],[ISR
(Ley 11-92)
(1*)]]+Tabla1[[#This Row],[Seguro 
de Pensión 
(2.87%)  
(2*)]]+Tabla1[[#This Row],[Seguro 
de Salud 
(3.04%)
 (3*)]]+Tabla1[[#This Row],[Otros
 Descuentos]]</f>
        <v>9443.76</v>
      </c>
      <c r="M70" s="34">
        <f>+Tabla1[[#This Row],[Sueldo Bruto
(RD$)]]-Tabla1[[#This Row],[Total de 
Descuentos]]</f>
        <v>55556.24</v>
      </c>
      <c r="N70" s="48" t="s">
        <v>18</v>
      </c>
      <c r="O70" s="50" t="s">
        <v>35</v>
      </c>
    </row>
    <row r="71" spans="1:15" s="104" customFormat="1" ht="35.1" customHeight="1">
      <c r="A71" s="1" t="s">
        <v>188</v>
      </c>
      <c r="B71" s="35" t="s">
        <v>183</v>
      </c>
      <c r="C71" s="35" t="s">
        <v>178</v>
      </c>
      <c r="D71" s="35" t="s">
        <v>38</v>
      </c>
      <c r="E71" s="47">
        <v>44682</v>
      </c>
      <c r="F71" s="47">
        <v>44866</v>
      </c>
      <c r="G71" s="34">
        <v>65000</v>
      </c>
      <c r="H71" s="99">
        <v>4179.88</v>
      </c>
      <c r="I71" s="34">
        <v>1865.5</v>
      </c>
      <c r="J71" s="34">
        <v>1976</v>
      </c>
      <c r="K71" s="34">
        <v>2025</v>
      </c>
      <c r="L71" s="34">
        <f>+Tabla1[[#This Row],[ISR
(Ley 11-92)
(1*)]]+Tabla1[[#This Row],[Seguro 
de Pensión 
(2.87%)  
(2*)]]+Tabla1[[#This Row],[Seguro 
de Salud 
(3.04%)
 (3*)]]+Tabla1[[#This Row],[Otros
 Descuentos]]</f>
        <v>10046.380000000001</v>
      </c>
      <c r="M71" s="34">
        <f>+Tabla1[[#This Row],[Sueldo Bruto
(RD$)]]-Tabla1[[#This Row],[Total de 
Descuentos]]</f>
        <v>54953.619999999995</v>
      </c>
      <c r="N71" s="48" t="s">
        <v>18</v>
      </c>
      <c r="O71" s="50" t="s">
        <v>35</v>
      </c>
    </row>
    <row r="72" spans="1:15" ht="35.1" customHeight="1">
      <c r="A72" s="1" t="s">
        <v>190</v>
      </c>
      <c r="B72" s="35" t="s">
        <v>185</v>
      </c>
      <c r="C72" s="35" t="s">
        <v>178</v>
      </c>
      <c r="D72" s="35" t="s">
        <v>38</v>
      </c>
      <c r="E72" s="47">
        <v>44666</v>
      </c>
      <c r="F72" s="47">
        <v>44849</v>
      </c>
      <c r="G72" s="34">
        <v>65000</v>
      </c>
      <c r="H72" s="99">
        <v>3887.53</v>
      </c>
      <c r="I72" s="34">
        <v>1865.5</v>
      </c>
      <c r="J72" s="34">
        <v>1976</v>
      </c>
      <c r="K72" s="34">
        <v>3300.08</v>
      </c>
      <c r="L72" s="34">
        <f>+Tabla1[[#This Row],[ISR
(Ley 11-92)
(1*)]]+Tabla1[[#This Row],[Seguro 
de Pensión 
(2.87%)  
(2*)]]+Tabla1[[#This Row],[Seguro 
de Salud 
(3.04%)
 (3*)]]+Tabla1[[#This Row],[Otros
 Descuentos]]</f>
        <v>11029.11</v>
      </c>
      <c r="M72" s="34">
        <f>+Tabla1[[#This Row],[Sueldo Bruto
(RD$)]]-Tabla1[[#This Row],[Total de 
Descuentos]]</f>
        <v>53970.89</v>
      </c>
      <c r="N72" s="48" t="s">
        <v>18</v>
      </c>
      <c r="O72" s="50" t="s">
        <v>19</v>
      </c>
    </row>
    <row r="73" spans="1:15" ht="35.1" customHeight="1">
      <c r="A73" s="1" t="s">
        <v>192</v>
      </c>
      <c r="B73" s="35" t="s">
        <v>187</v>
      </c>
      <c r="C73" s="35" t="s">
        <v>178</v>
      </c>
      <c r="D73" s="35" t="s">
        <v>38</v>
      </c>
      <c r="E73" s="51">
        <v>44634</v>
      </c>
      <c r="F73" s="51">
        <v>44818</v>
      </c>
      <c r="G73" s="34">
        <v>65000</v>
      </c>
      <c r="H73" s="34">
        <v>4427.58</v>
      </c>
      <c r="I73" s="34">
        <v>1865.5</v>
      </c>
      <c r="J73" s="34">
        <v>1976</v>
      </c>
      <c r="K73" s="34">
        <v>7023.37</v>
      </c>
      <c r="L73" s="34">
        <f>+Tabla1[[#This Row],[ISR
(Ley 11-92)
(1*)]]+Tabla1[[#This Row],[Seguro 
de Pensión 
(2.87%)  
(2*)]]+Tabla1[[#This Row],[Seguro 
de Salud 
(3.04%)
 (3*)]]+Tabla1[[#This Row],[Otros
 Descuentos]]</f>
        <v>15292.45</v>
      </c>
      <c r="M73" s="34">
        <f>+Tabla1[[#This Row],[Sueldo Bruto
(RD$)]]-Tabla1[[#This Row],[Total de 
Descuentos]]</f>
        <v>49707.55</v>
      </c>
      <c r="N73" s="48" t="s">
        <v>18</v>
      </c>
      <c r="O73" s="50" t="s">
        <v>35</v>
      </c>
    </row>
    <row r="74" spans="1:15" ht="35.1" customHeight="1">
      <c r="A74" s="1" t="s">
        <v>195</v>
      </c>
      <c r="B74" s="35" t="s">
        <v>189</v>
      </c>
      <c r="C74" s="35" t="s">
        <v>178</v>
      </c>
      <c r="D74" s="35" t="s">
        <v>38</v>
      </c>
      <c r="E74" s="51">
        <v>44621</v>
      </c>
      <c r="F74" s="51">
        <v>44805</v>
      </c>
      <c r="G74" s="34">
        <v>65000</v>
      </c>
      <c r="H74" s="34">
        <v>4427.58</v>
      </c>
      <c r="I74" s="34">
        <v>1865.5</v>
      </c>
      <c r="J74" s="34">
        <v>1976</v>
      </c>
      <c r="K74" s="35">
        <v>25</v>
      </c>
      <c r="L74" s="34">
        <v>8294.08</v>
      </c>
      <c r="M74" s="34">
        <v>56705.919999999998</v>
      </c>
      <c r="N74" s="48" t="s">
        <v>18</v>
      </c>
      <c r="O74" s="50" t="s">
        <v>19</v>
      </c>
    </row>
    <row r="75" spans="1:15" ht="35.1" customHeight="1">
      <c r="A75" s="1" t="s">
        <v>197</v>
      </c>
      <c r="B75" s="35" t="s">
        <v>191</v>
      </c>
      <c r="C75" s="35" t="s">
        <v>178</v>
      </c>
      <c r="D75" s="35" t="s">
        <v>38</v>
      </c>
      <c r="E75" s="51">
        <v>44621</v>
      </c>
      <c r="F75" s="51">
        <v>44805</v>
      </c>
      <c r="G75" s="34">
        <v>65000</v>
      </c>
      <c r="H75" s="34">
        <v>4427.58</v>
      </c>
      <c r="I75" s="34">
        <v>1865.5</v>
      </c>
      <c r="J75" s="34">
        <v>1976</v>
      </c>
      <c r="K75" s="34">
        <v>5025</v>
      </c>
      <c r="L75" s="34">
        <f>+Tabla1[[#This Row],[ISR
(Ley 11-92)
(1*)]]+Tabla1[[#This Row],[Seguro 
de Pensión 
(2.87%)  
(2*)]]+Tabla1[[#This Row],[Seguro 
de Salud 
(3.04%)
 (3*)]]+Tabla1[[#This Row],[Otros
 Descuentos]]</f>
        <v>13294.08</v>
      </c>
      <c r="M75" s="34">
        <f>+Tabla1[[#This Row],[Sueldo Bruto
(RD$)]]-Tabla1[[#This Row],[Total de 
Descuentos]]</f>
        <v>51705.919999999998</v>
      </c>
      <c r="N75" s="48" t="s">
        <v>18</v>
      </c>
      <c r="O75" s="50" t="s">
        <v>35</v>
      </c>
    </row>
    <row r="76" spans="1:15" s="104" customFormat="1" ht="35.1" customHeight="1">
      <c r="A76" s="126" t="s">
        <v>200</v>
      </c>
      <c r="B76" s="100" t="s">
        <v>460</v>
      </c>
      <c r="C76" s="100" t="s">
        <v>194</v>
      </c>
      <c r="D76" s="100" t="s">
        <v>620</v>
      </c>
      <c r="E76" s="51">
        <v>44713</v>
      </c>
      <c r="F76" s="51">
        <v>44896</v>
      </c>
      <c r="G76" s="101">
        <v>145000</v>
      </c>
      <c r="H76" s="101">
        <v>22690.49</v>
      </c>
      <c r="I76" s="101">
        <v>4161.5</v>
      </c>
      <c r="J76" s="101">
        <v>4408</v>
      </c>
      <c r="K76" s="101">
        <v>25</v>
      </c>
      <c r="L76" s="101">
        <f>+Tabla1[[#This Row],[ISR
(Ley 11-92)
(1*)]]+Tabla1[[#This Row],[Seguro 
de Pensión 
(2.87%)  
(2*)]]+Tabla1[[#This Row],[Seguro 
de Salud 
(3.04%)
 (3*)]]+Tabla1[[#This Row],[Otros
 Descuentos]]</f>
        <v>31284.99</v>
      </c>
      <c r="M76" s="101">
        <f>+Tabla1[[#This Row],[Sueldo Bruto
(RD$)]]-Tabla1[[#This Row],[Total de 
Descuentos]]</f>
        <v>113715.01</v>
      </c>
      <c r="N76" s="102" t="s">
        <v>18</v>
      </c>
      <c r="O76" s="103" t="s">
        <v>19</v>
      </c>
    </row>
    <row r="77" spans="1:15" s="104" customFormat="1" ht="35.1" customHeight="1">
      <c r="A77" s="1" t="s">
        <v>203</v>
      </c>
      <c r="B77" s="100" t="s">
        <v>193</v>
      </c>
      <c r="C77" s="100" t="s">
        <v>194</v>
      </c>
      <c r="D77" s="100" t="s">
        <v>17</v>
      </c>
      <c r="E77" s="51">
        <v>44666</v>
      </c>
      <c r="F77" s="51">
        <v>44849</v>
      </c>
      <c r="G77" s="101">
        <v>100000</v>
      </c>
      <c r="H77" s="101">
        <v>11767.84</v>
      </c>
      <c r="I77" s="101">
        <v>2870</v>
      </c>
      <c r="J77" s="101">
        <v>3040</v>
      </c>
      <c r="K77" s="101">
        <v>1375.12</v>
      </c>
      <c r="L77" s="101">
        <v>19052.96</v>
      </c>
      <c r="M77" s="101">
        <v>80947.039999999994</v>
      </c>
      <c r="N77" s="102" t="s">
        <v>18</v>
      </c>
      <c r="O77" s="103" t="s">
        <v>19</v>
      </c>
    </row>
    <row r="78" spans="1:15" ht="35.1" customHeight="1">
      <c r="A78" s="1" t="s">
        <v>205</v>
      </c>
      <c r="B78" s="35" t="s">
        <v>196</v>
      </c>
      <c r="C78" s="35" t="s">
        <v>194</v>
      </c>
      <c r="D78" s="35" t="s">
        <v>181</v>
      </c>
      <c r="E78" s="47">
        <v>44666</v>
      </c>
      <c r="F78" s="47">
        <v>44849</v>
      </c>
      <c r="G78" s="34">
        <v>85000</v>
      </c>
      <c r="H78" s="34">
        <v>8576.99</v>
      </c>
      <c r="I78" s="34">
        <v>2439.5</v>
      </c>
      <c r="J78" s="34">
        <v>2584</v>
      </c>
      <c r="K78" s="35">
        <v>25</v>
      </c>
      <c r="L78" s="34">
        <f>+Tabla1[[#This Row],[ISR
(Ley 11-92)
(1*)]]+Tabla1[[#This Row],[Seguro 
de Pensión 
(2.87%)  
(2*)]]+Tabla1[[#This Row],[Seguro 
de Salud 
(3.04%)
 (3*)]]+Tabla1[[#This Row],[Otros
 Descuentos]]</f>
        <v>13625.49</v>
      </c>
      <c r="M78" s="34">
        <f>+Tabla1[[#This Row],[Sueldo Bruto
(RD$)]]-Tabla1[[#This Row],[Total de 
Descuentos]]</f>
        <v>71374.509999999995</v>
      </c>
      <c r="N78" s="48" t="s">
        <v>18</v>
      </c>
      <c r="O78" s="50" t="s">
        <v>35</v>
      </c>
    </row>
    <row r="79" spans="1:15" ht="35.1" customHeight="1">
      <c r="A79" s="1" t="s">
        <v>207</v>
      </c>
      <c r="B79" s="35" t="s">
        <v>198</v>
      </c>
      <c r="C79" s="35" t="s">
        <v>194</v>
      </c>
      <c r="D79" s="35" t="s">
        <v>199</v>
      </c>
      <c r="E79" s="51">
        <v>44621</v>
      </c>
      <c r="F79" s="51">
        <v>44805</v>
      </c>
      <c r="G79" s="34">
        <v>95000</v>
      </c>
      <c r="H79" s="34">
        <v>10591.71</v>
      </c>
      <c r="I79" s="34">
        <v>2726.5</v>
      </c>
      <c r="J79" s="34">
        <v>2888</v>
      </c>
      <c r="K79" s="34">
        <v>3702.45</v>
      </c>
      <c r="L79" s="34">
        <f>+Tabla1[[#This Row],[ISR
(Ley 11-92)
(1*)]]+Tabla1[[#This Row],[Seguro 
de Pensión 
(2.87%)  
(2*)]]+Tabla1[[#This Row],[Seguro 
de Salud 
(3.04%)
 (3*)]]+Tabla1[[#This Row],[Otros
 Descuentos]]</f>
        <v>19908.66</v>
      </c>
      <c r="M79" s="34">
        <f>+Tabla1[[#This Row],[Sueldo Bruto
(RD$)]]-Tabla1[[#This Row],[Total de 
Descuentos]]</f>
        <v>75091.34</v>
      </c>
      <c r="N79" s="48" t="s">
        <v>18</v>
      </c>
      <c r="O79" s="50" t="s">
        <v>19</v>
      </c>
    </row>
    <row r="80" spans="1:15" ht="35.1" customHeight="1">
      <c r="A80" s="1" t="s">
        <v>209</v>
      </c>
      <c r="B80" s="35" t="s">
        <v>201</v>
      </c>
      <c r="C80" s="35" t="s">
        <v>194</v>
      </c>
      <c r="D80" s="35" t="s">
        <v>202</v>
      </c>
      <c r="E80" s="51">
        <v>44684</v>
      </c>
      <c r="F80" s="51">
        <v>44868</v>
      </c>
      <c r="G80" s="34">
        <v>65000</v>
      </c>
      <c r="H80" s="34">
        <v>4427.58</v>
      </c>
      <c r="I80" s="34">
        <v>1865.5</v>
      </c>
      <c r="J80" s="34">
        <v>1976</v>
      </c>
      <c r="K80" s="35">
        <v>25</v>
      </c>
      <c r="L80" s="34">
        <v>8294.08</v>
      </c>
      <c r="M80" s="34">
        <v>56705.919999999998</v>
      </c>
      <c r="N80" s="48" t="s">
        <v>18</v>
      </c>
      <c r="O80" s="50" t="s">
        <v>35</v>
      </c>
    </row>
    <row r="81" spans="1:15" ht="35.1" customHeight="1">
      <c r="A81" s="1" t="s">
        <v>211</v>
      </c>
      <c r="B81" s="35" t="s">
        <v>204</v>
      </c>
      <c r="C81" s="35" t="s">
        <v>194</v>
      </c>
      <c r="D81" s="35" t="s">
        <v>181</v>
      </c>
      <c r="E81" s="51">
        <v>44682</v>
      </c>
      <c r="F81" s="51">
        <v>44866</v>
      </c>
      <c r="G81" s="34">
        <v>80000</v>
      </c>
      <c r="H81" s="35">
        <v>0</v>
      </c>
      <c r="I81" s="34">
        <v>2296</v>
      </c>
      <c r="J81" s="34">
        <v>2432</v>
      </c>
      <c r="K81" s="35">
        <v>125</v>
      </c>
      <c r="L81" s="34">
        <v>4853</v>
      </c>
      <c r="M81" s="34">
        <v>75147</v>
      </c>
      <c r="N81" s="48" t="s">
        <v>18</v>
      </c>
      <c r="O81" s="50" t="s">
        <v>19</v>
      </c>
    </row>
    <row r="82" spans="1:15" ht="35.1" customHeight="1">
      <c r="A82" s="1" t="s">
        <v>213</v>
      </c>
      <c r="B82" s="35" t="s">
        <v>206</v>
      </c>
      <c r="C82" s="35" t="s">
        <v>194</v>
      </c>
      <c r="D82" s="35" t="s">
        <v>181</v>
      </c>
      <c r="E82" s="51">
        <v>44682</v>
      </c>
      <c r="F82" s="51">
        <v>44866</v>
      </c>
      <c r="G82" s="34">
        <v>80000</v>
      </c>
      <c r="H82" s="34">
        <v>7400.87</v>
      </c>
      <c r="I82" s="34">
        <v>2296</v>
      </c>
      <c r="J82" s="34">
        <v>2432</v>
      </c>
      <c r="K82" s="34">
        <v>3125</v>
      </c>
      <c r="L82" s="34">
        <f>+Tabla1[[#This Row],[ISR
(Ley 11-92)
(1*)]]+Tabla1[[#This Row],[Seguro 
de Pensión 
(2.87%)  
(2*)]]+Tabla1[[#This Row],[Seguro 
de Salud 
(3.04%)
 (3*)]]+Tabla1[[#This Row],[Otros
 Descuentos]]</f>
        <v>15253.869999999999</v>
      </c>
      <c r="M82" s="34">
        <f>+Tabla1[[#This Row],[Sueldo Bruto
(RD$)]]-Tabla1[[#This Row],[Total de 
Descuentos]]</f>
        <v>64746.130000000005</v>
      </c>
      <c r="N82" s="48" t="s">
        <v>18</v>
      </c>
      <c r="O82" s="50" t="s">
        <v>19</v>
      </c>
    </row>
    <row r="83" spans="1:15" ht="35.1" customHeight="1">
      <c r="A83" s="1" t="s">
        <v>216</v>
      </c>
      <c r="B83" s="35" t="s">
        <v>208</v>
      </c>
      <c r="C83" s="35" t="s">
        <v>194</v>
      </c>
      <c r="D83" s="35" t="s">
        <v>181</v>
      </c>
      <c r="E83" s="51">
        <v>44682</v>
      </c>
      <c r="F83" s="51">
        <v>44866</v>
      </c>
      <c r="G83" s="34">
        <v>80000</v>
      </c>
      <c r="H83" s="34">
        <v>7400.87</v>
      </c>
      <c r="I83" s="34">
        <v>2296</v>
      </c>
      <c r="J83" s="34">
        <v>2432</v>
      </c>
      <c r="K83" s="35">
        <v>25</v>
      </c>
      <c r="L83" s="34">
        <v>12153.87</v>
      </c>
      <c r="M83" s="34">
        <v>67846.13</v>
      </c>
      <c r="N83" s="48" t="s">
        <v>18</v>
      </c>
      <c r="O83" s="50" t="s">
        <v>19</v>
      </c>
    </row>
    <row r="84" spans="1:15" ht="35.1" customHeight="1">
      <c r="A84" s="1" t="s">
        <v>218</v>
      </c>
      <c r="B84" s="35" t="s">
        <v>210</v>
      </c>
      <c r="C84" s="35" t="s">
        <v>194</v>
      </c>
      <c r="D84" s="35" t="s">
        <v>202</v>
      </c>
      <c r="E84" s="51">
        <v>44696</v>
      </c>
      <c r="F84" s="51">
        <v>44880</v>
      </c>
      <c r="G84" s="34">
        <v>65000</v>
      </c>
      <c r="H84" s="34">
        <v>4427.58</v>
      </c>
      <c r="I84" s="34">
        <v>1865.5</v>
      </c>
      <c r="J84" s="34">
        <v>1976</v>
      </c>
      <c r="K84" s="35">
        <v>25</v>
      </c>
      <c r="L84" s="34">
        <v>8294.08</v>
      </c>
      <c r="M84" s="34">
        <v>56705.919999999998</v>
      </c>
      <c r="N84" s="48" t="s">
        <v>18</v>
      </c>
      <c r="O84" s="50" t="s">
        <v>35</v>
      </c>
    </row>
    <row r="85" spans="1:15" ht="35.1" customHeight="1">
      <c r="A85" s="1" t="s">
        <v>220</v>
      </c>
      <c r="B85" s="35" t="s">
        <v>212</v>
      </c>
      <c r="C85" s="35" t="s">
        <v>194</v>
      </c>
      <c r="D85" s="35" t="s">
        <v>202</v>
      </c>
      <c r="E85" s="51">
        <v>44696</v>
      </c>
      <c r="F85" s="51">
        <v>44880</v>
      </c>
      <c r="G85" s="34">
        <v>65000</v>
      </c>
      <c r="H85" s="34">
        <v>4427.58</v>
      </c>
      <c r="I85" s="34">
        <v>1865.5</v>
      </c>
      <c r="J85" s="34">
        <v>1976</v>
      </c>
      <c r="K85" s="35">
        <v>25</v>
      </c>
      <c r="L85" s="34">
        <v>8294.08</v>
      </c>
      <c r="M85" s="34">
        <v>56705.919999999998</v>
      </c>
      <c r="N85" s="48" t="s">
        <v>18</v>
      </c>
      <c r="O85" s="50" t="s">
        <v>35</v>
      </c>
    </row>
    <row r="86" spans="1:15" ht="35.1" customHeight="1">
      <c r="A86" s="1" t="s">
        <v>222</v>
      </c>
      <c r="B86" s="35" t="s">
        <v>214</v>
      </c>
      <c r="C86" s="35" t="s">
        <v>194</v>
      </c>
      <c r="D86" s="35" t="s">
        <v>38</v>
      </c>
      <c r="E86" s="51">
        <v>44621</v>
      </c>
      <c r="F86" s="51" t="s">
        <v>215</v>
      </c>
      <c r="G86" s="34">
        <v>80000</v>
      </c>
      <c r="H86" s="34">
        <v>7400.87</v>
      </c>
      <c r="I86" s="34">
        <v>2296</v>
      </c>
      <c r="J86" s="34">
        <v>2432</v>
      </c>
      <c r="K86" s="35">
        <v>25</v>
      </c>
      <c r="L86" s="34">
        <v>12153.87</v>
      </c>
      <c r="M86" s="34">
        <v>67846.13</v>
      </c>
      <c r="N86" s="48" t="s">
        <v>18</v>
      </c>
      <c r="O86" s="50" t="s">
        <v>19</v>
      </c>
    </row>
    <row r="87" spans="1:15" ht="35.1" customHeight="1">
      <c r="A87" s="1" t="s">
        <v>224</v>
      </c>
      <c r="B87" s="35" t="s">
        <v>217</v>
      </c>
      <c r="C87" s="35" t="s">
        <v>194</v>
      </c>
      <c r="D87" s="35" t="s">
        <v>38</v>
      </c>
      <c r="E87" s="51">
        <v>44652</v>
      </c>
      <c r="F87" s="51">
        <v>44835</v>
      </c>
      <c r="G87" s="34">
        <v>65000</v>
      </c>
      <c r="H87" s="34">
        <v>4427.58</v>
      </c>
      <c r="I87" s="34">
        <v>1865.5</v>
      </c>
      <c r="J87" s="34">
        <v>1976</v>
      </c>
      <c r="K87" s="35">
        <v>25</v>
      </c>
      <c r="L87" s="34">
        <v>8294.08</v>
      </c>
      <c r="M87" s="34">
        <v>56705.919999999998</v>
      </c>
      <c r="N87" s="48" t="s">
        <v>18</v>
      </c>
      <c r="O87" s="50" t="s">
        <v>19</v>
      </c>
    </row>
    <row r="88" spans="1:15" ht="35.1" customHeight="1">
      <c r="A88" s="1" t="s">
        <v>228</v>
      </c>
      <c r="B88" s="35" t="s">
        <v>219</v>
      </c>
      <c r="C88" s="35" t="s">
        <v>194</v>
      </c>
      <c r="D88" s="35" t="s">
        <v>59</v>
      </c>
      <c r="E88" s="51">
        <v>44759</v>
      </c>
      <c r="F88" s="51">
        <v>44943</v>
      </c>
      <c r="G88" s="34">
        <v>42000</v>
      </c>
      <c r="H88" s="35">
        <v>0</v>
      </c>
      <c r="I88" s="34">
        <v>1205.4000000000001</v>
      </c>
      <c r="J88" s="34">
        <v>1276.8</v>
      </c>
      <c r="K88" s="34">
        <v>7776.59</v>
      </c>
      <c r="L88" s="34">
        <f>+Tabla1[[#This Row],[ISR
(Ley 11-92)
(1*)]]+Tabla1[[#This Row],[Seguro 
de Pensión 
(2.87%)  
(2*)]]+Tabla1[[#This Row],[Seguro 
de Salud 
(3.04%)
 (3*)]]+Tabla1[[#This Row],[Otros
 Descuentos]]</f>
        <v>10258.790000000001</v>
      </c>
      <c r="M88" s="34">
        <f>+Tabla1[[#This Row],[Sueldo Bruto
(RD$)]]-Tabla1[[#This Row],[Total de 
Descuentos]]</f>
        <v>31741.21</v>
      </c>
      <c r="N88" s="48" t="s">
        <v>18</v>
      </c>
      <c r="O88" s="50" t="s">
        <v>19</v>
      </c>
    </row>
    <row r="89" spans="1:15" ht="35.1" customHeight="1">
      <c r="A89" s="1" t="s">
        <v>230</v>
      </c>
      <c r="B89" s="35" t="s">
        <v>221</v>
      </c>
      <c r="C89" s="35" t="s">
        <v>194</v>
      </c>
      <c r="D89" s="35" t="s">
        <v>59</v>
      </c>
      <c r="E89" s="47">
        <v>44621</v>
      </c>
      <c r="F89" s="47">
        <v>44805</v>
      </c>
      <c r="G89" s="34">
        <v>42000</v>
      </c>
      <c r="H89" s="35">
        <v>0</v>
      </c>
      <c r="I89" s="34">
        <v>1205.4000000000001</v>
      </c>
      <c r="J89" s="34">
        <v>1276.8</v>
      </c>
      <c r="K89" s="35">
        <v>25</v>
      </c>
      <c r="L89" s="34">
        <v>2507.1999999999998</v>
      </c>
      <c r="M89" s="34">
        <v>39492.800000000003</v>
      </c>
      <c r="N89" s="48" t="s">
        <v>18</v>
      </c>
      <c r="O89" s="50" t="s">
        <v>19</v>
      </c>
    </row>
    <row r="90" spans="1:15" ht="35.1" customHeight="1">
      <c r="A90" s="1" t="s">
        <v>234</v>
      </c>
      <c r="B90" s="35" t="s">
        <v>223</v>
      </c>
      <c r="C90" s="35" t="s">
        <v>194</v>
      </c>
      <c r="D90" s="35" t="s">
        <v>59</v>
      </c>
      <c r="E90" s="47">
        <v>44774</v>
      </c>
      <c r="F90" s="47">
        <v>44958</v>
      </c>
      <c r="G90" s="34">
        <v>42000</v>
      </c>
      <c r="H90" s="35">
        <v>724.92</v>
      </c>
      <c r="I90" s="34">
        <v>1205.4000000000001</v>
      </c>
      <c r="J90" s="34">
        <v>1276.8</v>
      </c>
      <c r="K90" s="35">
        <v>25</v>
      </c>
      <c r="L90" s="34">
        <v>3232.12</v>
      </c>
      <c r="M90" s="34">
        <v>38767.879999999997</v>
      </c>
      <c r="N90" s="48" t="s">
        <v>18</v>
      </c>
      <c r="O90" s="50" t="s">
        <v>19</v>
      </c>
    </row>
    <row r="91" spans="1:15" ht="35.1" customHeight="1">
      <c r="A91" s="1" t="s">
        <v>236</v>
      </c>
      <c r="B91" s="106" t="s">
        <v>475</v>
      </c>
      <c r="C91" s="106" t="s">
        <v>470</v>
      </c>
      <c r="D91" s="106" t="s">
        <v>72</v>
      </c>
      <c r="E91" s="105">
        <v>44713</v>
      </c>
      <c r="F91" s="105">
        <v>44896</v>
      </c>
      <c r="G91" s="107">
        <v>80000</v>
      </c>
      <c r="H91" s="107">
        <v>7400.87</v>
      </c>
      <c r="I91" s="107">
        <v>2296</v>
      </c>
      <c r="J91" s="107">
        <v>2432</v>
      </c>
      <c r="K91" s="106">
        <v>125</v>
      </c>
      <c r="L91" s="107">
        <f>+Tabla1[[#This Row],[ISR
(Ley 11-92)
(1*)]]+Tabla1[[#This Row],[Seguro 
de Pensión 
(2.87%)  
(2*)]]+Tabla1[[#This Row],[Seguro 
de Salud 
(3.04%)
 (3*)]]+Tabla1[[#This Row],[Otros
 Descuentos]]</f>
        <v>12253.869999999999</v>
      </c>
      <c r="M91" s="107">
        <f>+Tabla1[[#This Row],[Sueldo Bruto
(RD$)]]-Tabla1[[#This Row],[Total de 
Descuentos]]</f>
        <v>67746.13</v>
      </c>
      <c r="N91" s="102" t="s">
        <v>18</v>
      </c>
      <c r="O91" s="109" t="s">
        <v>35</v>
      </c>
    </row>
    <row r="92" spans="1:15" ht="35.1" customHeight="1">
      <c r="A92" s="1" t="s">
        <v>239</v>
      </c>
      <c r="B92" s="35" t="s">
        <v>225</v>
      </c>
      <c r="C92" s="35" t="s">
        <v>226</v>
      </c>
      <c r="D92" s="35" t="s">
        <v>227</v>
      </c>
      <c r="E92" s="51">
        <v>44621</v>
      </c>
      <c r="F92" s="51">
        <v>44805</v>
      </c>
      <c r="G92" s="34">
        <v>110000</v>
      </c>
      <c r="H92" s="34">
        <v>14457.62</v>
      </c>
      <c r="I92" s="34">
        <v>3157</v>
      </c>
      <c r="J92" s="34">
        <v>3344</v>
      </c>
      <c r="K92" s="34">
        <v>5125</v>
      </c>
      <c r="L92" s="34">
        <v>26083.62</v>
      </c>
      <c r="M92" s="34">
        <v>83916.38</v>
      </c>
      <c r="N92" s="48" t="s">
        <v>18</v>
      </c>
      <c r="O92" s="50" t="s">
        <v>35</v>
      </c>
    </row>
    <row r="93" spans="1:15" ht="35.1" customHeight="1">
      <c r="A93" s="1" t="s">
        <v>242</v>
      </c>
      <c r="B93" s="35" t="s">
        <v>229</v>
      </c>
      <c r="C93" s="35" t="s">
        <v>226</v>
      </c>
      <c r="D93" s="35" t="s">
        <v>97</v>
      </c>
      <c r="E93" s="47">
        <v>44658</v>
      </c>
      <c r="F93" s="47">
        <v>44841</v>
      </c>
      <c r="G93" s="34">
        <v>85000</v>
      </c>
      <c r="H93" s="34">
        <v>8576.99</v>
      </c>
      <c r="I93" s="34">
        <v>2439.5</v>
      </c>
      <c r="J93" s="34">
        <v>2584</v>
      </c>
      <c r="K93" s="35">
        <v>25</v>
      </c>
      <c r="L93" s="34">
        <f>+Tabla1[[#This Row],[ISR
(Ley 11-92)
(1*)]]+Tabla1[[#This Row],[Seguro 
de Pensión 
(2.87%)  
(2*)]]+Tabla1[[#This Row],[Seguro 
de Salud 
(3.04%)
 (3*)]]+Tabla1[[#This Row],[Otros
 Descuentos]]</f>
        <v>13625.49</v>
      </c>
      <c r="M93" s="34">
        <f>+Tabla1[[#This Row],[Sueldo Bruto
(RD$)]]-Tabla1[[#This Row],[Total de 
Descuentos]]</f>
        <v>71374.509999999995</v>
      </c>
      <c r="N93" s="48" t="s">
        <v>18</v>
      </c>
      <c r="O93" s="50" t="s">
        <v>19</v>
      </c>
    </row>
    <row r="94" spans="1:15" s="104" customFormat="1" ht="35.1" customHeight="1">
      <c r="A94" s="1" t="s">
        <v>244</v>
      </c>
      <c r="B94" s="35" t="s">
        <v>231</v>
      </c>
      <c r="C94" s="35" t="s">
        <v>232</v>
      </c>
      <c r="D94" s="35" t="s">
        <v>233</v>
      </c>
      <c r="E94" s="47">
        <v>44682</v>
      </c>
      <c r="F94" s="47">
        <v>44866</v>
      </c>
      <c r="G94" s="34">
        <v>65000</v>
      </c>
      <c r="H94" s="34">
        <v>3955.51</v>
      </c>
      <c r="I94" s="34">
        <v>1865.5</v>
      </c>
      <c r="J94" s="34">
        <v>1976</v>
      </c>
      <c r="K94" s="34">
        <v>6493.61</v>
      </c>
      <c r="L94" s="34">
        <f>+Tabla1[[#This Row],[ISR
(Ley 11-92)
(1*)]]+Tabla1[[#This Row],[Seguro 
de Pensión 
(2.87%)  
(2*)]]+Tabla1[[#This Row],[Seguro 
de Salud 
(3.04%)
 (3*)]]+Tabla1[[#This Row],[Otros
 Descuentos]]</f>
        <v>14290.619999999999</v>
      </c>
      <c r="M94" s="34">
        <f>+Tabla1[[#This Row],[Sueldo Bruto
(RD$)]]-Tabla1[[#This Row],[Total de 
Descuentos]]</f>
        <v>50709.380000000005</v>
      </c>
      <c r="N94" s="48" t="s">
        <v>18</v>
      </c>
      <c r="O94" s="50" t="s">
        <v>19</v>
      </c>
    </row>
    <row r="95" spans="1:15" ht="35.1" customHeight="1">
      <c r="A95" s="1" t="s">
        <v>246</v>
      </c>
      <c r="B95" s="35" t="s">
        <v>235</v>
      </c>
      <c r="C95" s="35" t="s">
        <v>232</v>
      </c>
      <c r="D95" s="35" t="s">
        <v>233</v>
      </c>
      <c r="E95" s="51">
        <v>44682</v>
      </c>
      <c r="F95" s="51">
        <v>44866</v>
      </c>
      <c r="G95" s="34">
        <v>65000</v>
      </c>
      <c r="H95" s="34">
        <v>4157.55</v>
      </c>
      <c r="I95" s="34">
        <v>1865.5</v>
      </c>
      <c r="J95" s="34">
        <v>1976</v>
      </c>
      <c r="K95" s="34">
        <v>1475.12</v>
      </c>
      <c r="L95" s="34">
        <v>9474.17</v>
      </c>
      <c r="M95" s="34">
        <v>55525.83</v>
      </c>
      <c r="N95" s="48" t="s">
        <v>18</v>
      </c>
      <c r="O95" s="50" t="s">
        <v>19</v>
      </c>
    </row>
    <row r="96" spans="1:15" s="104" customFormat="1" ht="35.1" customHeight="1">
      <c r="A96" s="126" t="s">
        <v>248</v>
      </c>
      <c r="B96" s="100" t="s">
        <v>619</v>
      </c>
      <c r="C96" s="100" t="s">
        <v>232</v>
      </c>
      <c r="D96" s="100" t="s">
        <v>233</v>
      </c>
      <c r="E96" s="51">
        <v>44743</v>
      </c>
      <c r="F96" s="51">
        <v>44927</v>
      </c>
      <c r="G96" s="101">
        <v>65000</v>
      </c>
      <c r="H96" s="101">
        <f>+H87</f>
        <v>4427.58</v>
      </c>
      <c r="I96" s="101">
        <f>+Tabla1[[#This Row],[Sueldo Bruto
(RD$)]]*0.0287</f>
        <v>1865.5</v>
      </c>
      <c r="J96" s="101">
        <f>+Tabla1[[#This Row],[Sueldo Bruto
(RD$)]]*0.0304</f>
        <v>1976</v>
      </c>
      <c r="K96" s="101">
        <v>25</v>
      </c>
      <c r="L96" s="101">
        <f>+Tabla1[[#This Row],[ISR
(Ley 11-92)
(1*)]]+Tabla1[[#This Row],[Seguro 
de Pensión 
(2.87%)  
(2*)]]+Tabla1[[#This Row],[Seguro 
de Salud 
(3.04%)
 (3*)]]+Tabla1[[#This Row],[Otros
 Descuentos]]</f>
        <v>8294.08</v>
      </c>
      <c r="M96" s="101">
        <f>+Tabla1[[#This Row],[Sueldo Bruto
(RD$)]]-Tabla1[[#This Row],[Total de 
Descuentos]]</f>
        <v>56705.919999999998</v>
      </c>
      <c r="N96" s="102" t="s">
        <v>18</v>
      </c>
      <c r="O96" s="103" t="s">
        <v>19</v>
      </c>
    </row>
    <row r="97" spans="1:15" ht="35.1" customHeight="1">
      <c r="A97" s="1" t="s">
        <v>250</v>
      </c>
      <c r="B97" s="35" t="s">
        <v>237</v>
      </c>
      <c r="C97" s="35" t="s">
        <v>238</v>
      </c>
      <c r="D97" s="35" t="s">
        <v>64</v>
      </c>
      <c r="E97" s="51">
        <v>44621</v>
      </c>
      <c r="F97" s="51">
        <v>44805</v>
      </c>
      <c r="G97" s="34">
        <v>125000</v>
      </c>
      <c r="H97" s="99">
        <v>17985.990000000002</v>
      </c>
      <c r="I97" s="34">
        <v>3587.5</v>
      </c>
      <c r="J97" s="34">
        <v>3800</v>
      </c>
      <c r="K97" s="34">
        <v>3164.07</v>
      </c>
      <c r="L97" s="34">
        <f>+Tabla1[[#This Row],[ISR
(Ley 11-92)
(1*)]]+Tabla1[[#This Row],[Seguro 
de Pensión 
(2.87%)  
(2*)]]+Tabla1[[#This Row],[Seguro 
de Salud 
(3.04%)
 (3*)]]+Tabla1[[#This Row],[Otros
 Descuentos]]</f>
        <v>28537.56</v>
      </c>
      <c r="M97" s="34">
        <f>+Tabla1[[#This Row],[Sueldo Bruto
(RD$)]]-Tabla1[[#This Row],[Total de 
Descuentos]]</f>
        <v>96462.44</v>
      </c>
      <c r="N97" s="48" t="s">
        <v>18</v>
      </c>
      <c r="O97" s="50" t="s">
        <v>35</v>
      </c>
    </row>
    <row r="98" spans="1:15" ht="35.1" customHeight="1">
      <c r="A98" s="1" t="s">
        <v>252</v>
      </c>
      <c r="B98" s="35" t="s">
        <v>240</v>
      </c>
      <c r="C98" s="35" t="s">
        <v>238</v>
      </c>
      <c r="D98" s="35" t="s">
        <v>17</v>
      </c>
      <c r="E98" s="51">
        <v>44736</v>
      </c>
      <c r="F98" s="51">
        <v>44919</v>
      </c>
      <c r="G98" s="34">
        <v>90000</v>
      </c>
      <c r="H98" s="99">
        <v>9753.1200000000008</v>
      </c>
      <c r="I98" s="34">
        <v>2583</v>
      </c>
      <c r="J98" s="34">
        <v>2736</v>
      </c>
      <c r="K98" s="35">
        <v>25</v>
      </c>
      <c r="L98" s="34">
        <f>+Tabla1[[#This Row],[ISR
(Ley 11-92)
(1*)]]+Tabla1[[#This Row],[Seguro 
de Pensión 
(2.87%)  
(2*)]]+Tabla1[[#This Row],[Seguro 
de Salud 
(3.04%)
 (3*)]]+Tabla1[[#This Row],[Otros
 Descuentos]]</f>
        <v>15097.12</v>
      </c>
      <c r="M98" s="34">
        <f>+Tabla1[[#This Row],[Sueldo Bruto
(RD$)]]-Tabla1[[#This Row],[Total de 
Descuentos]]</f>
        <v>74902.880000000005</v>
      </c>
      <c r="N98" s="48" t="s">
        <v>18</v>
      </c>
      <c r="O98" s="50" t="s">
        <v>35</v>
      </c>
    </row>
    <row r="99" spans="1:15" ht="35.1" customHeight="1">
      <c r="A99" s="1" t="s">
        <v>254</v>
      </c>
      <c r="B99" s="35" t="s">
        <v>243</v>
      </c>
      <c r="C99" s="35" t="s">
        <v>238</v>
      </c>
      <c r="D99" s="35" t="s">
        <v>241</v>
      </c>
      <c r="E99" s="51">
        <v>44682</v>
      </c>
      <c r="F99" s="51">
        <v>44866</v>
      </c>
      <c r="G99" s="34">
        <v>65000</v>
      </c>
      <c r="H99" s="99">
        <v>3893.42</v>
      </c>
      <c r="I99" s="34">
        <v>1865.5</v>
      </c>
      <c r="J99" s="34">
        <v>1976</v>
      </c>
      <c r="K99" s="35">
        <v>25</v>
      </c>
      <c r="L99" s="34">
        <f>+Tabla1[[#This Row],[ISR
(Ley 11-92)
(1*)]]+Tabla1[[#This Row],[Seguro 
de Pensión 
(2.87%)  
(2*)]]+Tabla1[[#This Row],[Seguro 
de Salud 
(3.04%)
 (3*)]]+Tabla1[[#This Row],[Otros
 Descuentos]]</f>
        <v>7759.92</v>
      </c>
      <c r="M99" s="34">
        <f>+Tabla1[[#This Row],[Sueldo Bruto
(RD$)]]-Tabla1[[#This Row],[Total de 
Descuentos]]</f>
        <v>57240.08</v>
      </c>
      <c r="N99" s="48" t="s">
        <v>18</v>
      </c>
      <c r="O99" s="50" t="s">
        <v>19</v>
      </c>
    </row>
    <row r="100" spans="1:15" ht="35.1" customHeight="1">
      <c r="A100" s="1" t="s">
        <v>256</v>
      </c>
      <c r="B100" s="35" t="s">
        <v>245</v>
      </c>
      <c r="C100" s="35" t="s">
        <v>238</v>
      </c>
      <c r="D100" s="35" t="s">
        <v>241</v>
      </c>
      <c r="E100" s="51">
        <v>44621</v>
      </c>
      <c r="F100" s="51">
        <v>44805</v>
      </c>
      <c r="G100" s="34">
        <v>65000</v>
      </c>
      <c r="H100" s="99">
        <v>4427.58</v>
      </c>
      <c r="I100" s="34">
        <v>1865.5</v>
      </c>
      <c r="J100" s="34">
        <v>1976</v>
      </c>
      <c r="K100" s="35">
        <v>25</v>
      </c>
      <c r="L100" s="34">
        <f>+Tabla1[[#This Row],[ISR
(Ley 11-92)
(1*)]]+Tabla1[[#This Row],[Seguro 
de Pensión 
(2.87%)  
(2*)]]+Tabla1[[#This Row],[Seguro 
de Salud 
(3.04%)
 (3*)]]+Tabla1[[#This Row],[Otros
 Descuentos]]</f>
        <v>8294.08</v>
      </c>
      <c r="M100" s="34">
        <f>+Tabla1[[#This Row],[Sueldo Bruto
(RD$)]]-Tabla1[[#This Row],[Total de 
Descuentos]]</f>
        <v>56705.919999999998</v>
      </c>
      <c r="N100" s="48" t="s">
        <v>18</v>
      </c>
      <c r="O100" s="50" t="s">
        <v>35</v>
      </c>
    </row>
    <row r="101" spans="1:15" ht="35.1" customHeight="1">
      <c r="A101" s="1" t="s">
        <v>258</v>
      </c>
      <c r="B101" s="35" t="s">
        <v>247</v>
      </c>
      <c r="C101" s="35" t="s">
        <v>238</v>
      </c>
      <c r="D101" s="35" t="s">
        <v>241</v>
      </c>
      <c r="E101" s="47">
        <v>44621</v>
      </c>
      <c r="F101" s="47">
        <v>44805</v>
      </c>
      <c r="G101" s="34">
        <v>65000</v>
      </c>
      <c r="H101" s="34">
        <v>4157.55</v>
      </c>
      <c r="I101" s="34">
        <v>1865.5</v>
      </c>
      <c r="J101" s="34">
        <v>1976</v>
      </c>
      <c r="K101" s="34">
        <v>1375.12</v>
      </c>
      <c r="L101" s="34">
        <v>9374.17</v>
      </c>
      <c r="M101" s="34">
        <v>55625.83</v>
      </c>
      <c r="N101" s="48" t="s">
        <v>18</v>
      </c>
      <c r="O101" s="50" t="s">
        <v>35</v>
      </c>
    </row>
    <row r="102" spans="1:15" ht="35.1" customHeight="1">
      <c r="A102" s="1" t="s">
        <v>260</v>
      </c>
      <c r="B102" s="35" t="s">
        <v>249</v>
      </c>
      <c r="C102" s="35" t="s">
        <v>238</v>
      </c>
      <c r="D102" s="35" t="s">
        <v>241</v>
      </c>
      <c r="E102" s="51">
        <v>44757</v>
      </c>
      <c r="F102" s="51">
        <v>44941</v>
      </c>
      <c r="G102" s="34">
        <v>65000</v>
      </c>
      <c r="H102" s="35">
        <v>4427.58</v>
      </c>
      <c r="I102" s="34">
        <v>1865.5</v>
      </c>
      <c r="J102" s="34">
        <v>1976</v>
      </c>
      <c r="K102" s="35">
        <v>25</v>
      </c>
      <c r="L102" s="34">
        <f>+Tabla1[[#This Row],[ISR
(Ley 11-92)
(1*)]]+Tabla1[[#This Row],[Seguro 
de Pensión 
(2.87%)  
(2*)]]+Tabla1[[#This Row],[Seguro 
de Salud 
(3.04%)
 (3*)]]+Tabla1[[#This Row],[Otros
 Descuentos]]</f>
        <v>8294.08</v>
      </c>
      <c r="M102" s="34">
        <f>+Tabla1[[#This Row],[Sueldo Bruto
(RD$)]]-Tabla1[[#This Row],[Total de 
Descuentos]]</f>
        <v>56705.919999999998</v>
      </c>
      <c r="N102" s="48" t="s">
        <v>18</v>
      </c>
      <c r="O102" s="50" t="s">
        <v>19</v>
      </c>
    </row>
    <row r="103" spans="1:15" ht="35.1" customHeight="1">
      <c r="A103" s="1" t="s">
        <v>262</v>
      </c>
      <c r="B103" s="35" t="s">
        <v>251</v>
      </c>
      <c r="C103" s="35" t="s">
        <v>238</v>
      </c>
      <c r="D103" s="35" t="s">
        <v>241</v>
      </c>
      <c r="E103" s="51">
        <v>44757</v>
      </c>
      <c r="F103" s="51">
        <v>44941</v>
      </c>
      <c r="G103" s="34">
        <v>65000</v>
      </c>
      <c r="H103" s="34">
        <v>4427.58</v>
      </c>
      <c r="I103" s="34">
        <v>1865.5</v>
      </c>
      <c r="J103" s="34">
        <v>1976</v>
      </c>
      <c r="K103" s="35">
        <v>25</v>
      </c>
      <c r="L103" s="34">
        <v>8294.08</v>
      </c>
      <c r="M103" s="34">
        <v>56705.919999999998</v>
      </c>
      <c r="N103" s="48" t="s">
        <v>18</v>
      </c>
      <c r="O103" s="50" t="s">
        <v>19</v>
      </c>
    </row>
    <row r="104" spans="1:15" ht="35.1" customHeight="1">
      <c r="A104" s="1" t="s">
        <v>264</v>
      </c>
      <c r="B104" s="106" t="s">
        <v>602</v>
      </c>
      <c r="C104" s="100" t="s">
        <v>238</v>
      </c>
      <c r="D104" s="106" t="s">
        <v>241</v>
      </c>
      <c r="E104" s="98">
        <v>44697</v>
      </c>
      <c r="F104" s="98">
        <v>44881</v>
      </c>
      <c r="G104" s="107">
        <v>65000</v>
      </c>
      <c r="H104" s="107">
        <v>4427.58</v>
      </c>
      <c r="I104" s="107">
        <v>1865.5</v>
      </c>
      <c r="J104" s="107">
        <v>1976</v>
      </c>
      <c r="K104" s="107">
        <v>25</v>
      </c>
      <c r="L104" s="107">
        <f>+Tabla1[[#This Row],[ISR
(Ley 11-92)
(1*)]]+Tabla1[[#This Row],[Seguro 
de Pensión 
(2.87%)  
(2*)]]+Tabla1[[#This Row],[Seguro 
de Salud 
(3.04%)
 (3*)]]+Tabla1[[#This Row],[Otros
 Descuentos]]</f>
        <v>8294.08</v>
      </c>
      <c r="M104" s="107">
        <f>+Tabla1[[#This Row],[Sueldo Bruto
(RD$)]]-Tabla1[[#This Row],[Total de 
Descuentos]]</f>
        <v>56705.919999999998</v>
      </c>
      <c r="N104" s="108" t="s">
        <v>18</v>
      </c>
      <c r="O104" s="109" t="s">
        <v>35</v>
      </c>
    </row>
    <row r="105" spans="1:15" ht="35.1" customHeight="1">
      <c r="A105" s="1" t="s">
        <v>267</v>
      </c>
      <c r="B105" s="106" t="s">
        <v>603</v>
      </c>
      <c r="C105" s="100" t="s">
        <v>238</v>
      </c>
      <c r="D105" s="106" t="s">
        <v>241</v>
      </c>
      <c r="E105" s="98">
        <v>44718</v>
      </c>
      <c r="F105" s="98">
        <v>44901</v>
      </c>
      <c r="G105" s="107">
        <v>65000</v>
      </c>
      <c r="H105" s="107">
        <v>4427.58</v>
      </c>
      <c r="I105" s="107">
        <v>1865.5</v>
      </c>
      <c r="J105" s="107">
        <v>1976</v>
      </c>
      <c r="K105" s="107">
        <v>25</v>
      </c>
      <c r="L105" s="107">
        <f>+Tabla1[[#This Row],[ISR
(Ley 11-92)
(1*)]]+Tabla1[[#This Row],[Seguro 
de Pensión 
(2.87%)  
(2*)]]+Tabla1[[#This Row],[Seguro 
de Salud 
(3.04%)
 (3*)]]+Tabla1[[#This Row],[Otros
 Descuentos]]</f>
        <v>8294.08</v>
      </c>
      <c r="M105" s="107">
        <f>+Tabla1[[#This Row],[Sueldo Bruto
(RD$)]]-Tabla1[[#This Row],[Total de 
Descuentos]]</f>
        <v>56705.919999999998</v>
      </c>
      <c r="N105" s="108" t="s">
        <v>18</v>
      </c>
      <c r="O105" s="109" t="s">
        <v>35</v>
      </c>
    </row>
    <row r="106" spans="1:15" ht="35.1" customHeight="1">
      <c r="A106" s="1" t="s">
        <v>269</v>
      </c>
      <c r="B106" s="35" t="s">
        <v>253</v>
      </c>
      <c r="C106" s="35" t="s">
        <v>238</v>
      </c>
      <c r="D106" s="35" t="s">
        <v>38</v>
      </c>
      <c r="E106" s="47">
        <v>44682</v>
      </c>
      <c r="F106" s="47">
        <v>44866</v>
      </c>
      <c r="G106" s="34">
        <v>75000</v>
      </c>
      <c r="H106" s="35">
        <v>6039.35</v>
      </c>
      <c r="I106" s="34">
        <v>2152.5</v>
      </c>
      <c r="J106" s="34">
        <v>2280</v>
      </c>
      <c r="K106" s="34">
        <v>1375.12</v>
      </c>
      <c r="L106" s="34">
        <f>+Tabla1[[#This Row],[ISR
(Ley 11-92)
(1*)]]+Tabla1[[#This Row],[Seguro 
de Pensión 
(2.87%)  
(2*)]]+Tabla1[[#This Row],[Seguro 
de Salud 
(3.04%)
 (3*)]]+Tabla1[[#This Row],[Otros
 Descuentos]]</f>
        <v>11846.970000000001</v>
      </c>
      <c r="M106" s="34">
        <f>+Tabla1[[#This Row],[Sueldo Bruto
(RD$)]]-Tabla1[[#This Row],[Total de 
Descuentos]]</f>
        <v>63153.03</v>
      </c>
      <c r="N106" s="48" t="s">
        <v>18</v>
      </c>
      <c r="O106" s="50" t="s">
        <v>19</v>
      </c>
    </row>
    <row r="107" spans="1:15" ht="35.1" customHeight="1">
      <c r="A107" s="1" t="s">
        <v>272</v>
      </c>
      <c r="B107" s="35" t="s">
        <v>255</v>
      </c>
      <c r="C107" s="35" t="s">
        <v>238</v>
      </c>
      <c r="D107" s="35" t="s">
        <v>38</v>
      </c>
      <c r="E107" s="47">
        <v>44670</v>
      </c>
      <c r="F107" s="47">
        <v>44853</v>
      </c>
      <c r="G107" s="34">
        <v>65000</v>
      </c>
      <c r="H107" s="34">
        <v>4157.55</v>
      </c>
      <c r="I107" s="34">
        <v>1865.5</v>
      </c>
      <c r="J107" s="34">
        <v>1976</v>
      </c>
      <c r="K107" s="34">
        <v>2552.77</v>
      </c>
      <c r="L107" s="34">
        <f>+Tabla1[[#This Row],[ISR
(Ley 11-92)
(1*)]]+Tabla1[[#This Row],[Seguro 
de Pensión 
(2.87%)  
(2*)]]+Tabla1[[#This Row],[Seguro 
de Salud 
(3.04%)
 (3*)]]+Tabla1[[#This Row],[Otros
 Descuentos]]</f>
        <v>10551.82</v>
      </c>
      <c r="M107" s="34">
        <f>+Tabla1[[#This Row],[Sueldo Bruto
(RD$)]]-Tabla1[[#This Row],[Total de 
Descuentos]]</f>
        <v>54448.18</v>
      </c>
      <c r="N107" s="48" t="s">
        <v>18</v>
      </c>
      <c r="O107" s="50" t="s">
        <v>19</v>
      </c>
    </row>
    <row r="108" spans="1:15" ht="35.1" customHeight="1">
      <c r="A108" s="1" t="s">
        <v>274</v>
      </c>
      <c r="B108" s="35" t="s">
        <v>257</v>
      </c>
      <c r="C108" s="35" t="s">
        <v>238</v>
      </c>
      <c r="D108" s="35" t="s">
        <v>38</v>
      </c>
      <c r="E108" s="51">
        <v>44670</v>
      </c>
      <c r="F108" s="51">
        <v>44853</v>
      </c>
      <c r="G108" s="34">
        <v>65000</v>
      </c>
      <c r="H108" s="35">
        <v>0</v>
      </c>
      <c r="I108" s="34">
        <v>1865.5</v>
      </c>
      <c r="J108" s="34">
        <v>1976</v>
      </c>
      <c r="K108" s="35">
        <v>25</v>
      </c>
      <c r="L108" s="34">
        <v>3866.5</v>
      </c>
      <c r="M108" s="34">
        <v>61133.5</v>
      </c>
      <c r="N108" s="48" t="s">
        <v>18</v>
      </c>
      <c r="O108" s="50" t="s">
        <v>19</v>
      </c>
    </row>
    <row r="109" spans="1:15" ht="35.1" customHeight="1">
      <c r="A109" s="1" t="s">
        <v>276</v>
      </c>
      <c r="B109" s="35" t="s">
        <v>259</v>
      </c>
      <c r="C109" s="35" t="s">
        <v>238</v>
      </c>
      <c r="D109" s="35" t="s">
        <v>38</v>
      </c>
      <c r="E109" s="51">
        <v>44666</v>
      </c>
      <c r="F109" s="51">
        <v>44849</v>
      </c>
      <c r="G109" s="34">
        <v>65000</v>
      </c>
      <c r="H109" s="99">
        <v>4427.58</v>
      </c>
      <c r="I109" s="34">
        <v>1865.5</v>
      </c>
      <c r="J109" s="34">
        <v>1976</v>
      </c>
      <c r="K109" s="35">
        <v>25</v>
      </c>
      <c r="L109" s="34">
        <f>+Tabla1[[#This Row],[ISR
(Ley 11-92)
(1*)]]+Tabla1[[#This Row],[Seguro 
de Pensión 
(2.87%)  
(2*)]]+Tabla1[[#This Row],[Seguro 
de Salud 
(3.04%)
 (3*)]]+Tabla1[[#This Row],[Otros
 Descuentos]]</f>
        <v>8294.08</v>
      </c>
      <c r="M109" s="34">
        <f>+Tabla1[[#This Row],[Sueldo Bruto
(RD$)]]-Tabla1[[#This Row],[Total de 
Descuentos]]</f>
        <v>56705.919999999998</v>
      </c>
      <c r="N109" s="48" t="s">
        <v>18</v>
      </c>
      <c r="O109" s="50" t="s">
        <v>19</v>
      </c>
    </row>
    <row r="110" spans="1:15" ht="35.1" customHeight="1">
      <c r="A110" s="1" t="s">
        <v>278</v>
      </c>
      <c r="B110" s="35" t="s">
        <v>261</v>
      </c>
      <c r="C110" s="35" t="s">
        <v>238</v>
      </c>
      <c r="D110" s="35" t="s">
        <v>38</v>
      </c>
      <c r="E110" s="52">
        <v>44745</v>
      </c>
      <c r="F110" s="52">
        <v>44929</v>
      </c>
      <c r="G110" s="34">
        <v>65000</v>
      </c>
      <c r="H110" s="34">
        <v>4427.58</v>
      </c>
      <c r="I110" s="34">
        <v>1865.5</v>
      </c>
      <c r="J110" s="34">
        <v>1976</v>
      </c>
      <c r="K110" s="34">
        <v>3703.02</v>
      </c>
      <c r="L110" s="34">
        <v>11972.1</v>
      </c>
      <c r="M110" s="34">
        <v>53027.9</v>
      </c>
      <c r="N110" s="48" t="s">
        <v>18</v>
      </c>
      <c r="O110" s="50" t="s">
        <v>19</v>
      </c>
    </row>
    <row r="111" spans="1:15" ht="35.1" customHeight="1">
      <c r="A111" s="1" t="s">
        <v>280</v>
      </c>
      <c r="B111" s="35" t="s">
        <v>265</v>
      </c>
      <c r="C111" s="35" t="s">
        <v>263</v>
      </c>
      <c r="D111" s="35" t="s">
        <v>266</v>
      </c>
      <c r="E111" s="47">
        <v>44774</v>
      </c>
      <c r="F111" s="47">
        <v>44958</v>
      </c>
      <c r="G111" s="34">
        <v>100000</v>
      </c>
      <c r="H111" s="99">
        <v>11767.84</v>
      </c>
      <c r="I111" s="34">
        <v>2870</v>
      </c>
      <c r="J111" s="34">
        <v>3040</v>
      </c>
      <c r="K111" s="34">
        <v>1375.12</v>
      </c>
      <c r="L111" s="34">
        <f>+Tabla1[[#This Row],[ISR
(Ley 11-92)
(1*)]]+Tabla1[[#This Row],[Seguro 
de Pensión 
(2.87%)  
(2*)]]+Tabla1[[#This Row],[Seguro 
de Salud 
(3.04%)
 (3*)]]+Tabla1[[#This Row],[Otros
 Descuentos]]</f>
        <v>19052.96</v>
      </c>
      <c r="M111" s="34">
        <f>+Tabla1[[#This Row],[Sueldo Bruto
(RD$)]]-Tabla1[[#This Row],[Total de 
Descuentos]]</f>
        <v>80947.040000000008</v>
      </c>
      <c r="N111" s="48" t="s">
        <v>18</v>
      </c>
      <c r="O111" s="50" t="s">
        <v>19</v>
      </c>
    </row>
    <row r="112" spans="1:15" ht="35.1" customHeight="1">
      <c r="A112" s="1" t="s">
        <v>282</v>
      </c>
      <c r="B112" s="35" t="s">
        <v>268</v>
      </c>
      <c r="C112" s="35" t="s">
        <v>263</v>
      </c>
      <c r="D112" s="35" t="s">
        <v>38</v>
      </c>
      <c r="E112" s="51">
        <v>44669</v>
      </c>
      <c r="F112" s="51">
        <v>44852</v>
      </c>
      <c r="G112" s="34">
        <v>65000</v>
      </c>
      <c r="H112" s="34">
        <v>4427.58</v>
      </c>
      <c r="I112" s="34">
        <v>1865.5</v>
      </c>
      <c r="J112" s="34">
        <v>1976</v>
      </c>
      <c r="K112" s="35">
        <v>25</v>
      </c>
      <c r="L112" s="34">
        <v>8294.08</v>
      </c>
      <c r="M112" s="34">
        <v>56705.919999999998</v>
      </c>
      <c r="N112" s="48" t="s">
        <v>18</v>
      </c>
      <c r="O112" s="50" t="s">
        <v>19</v>
      </c>
    </row>
    <row r="113" spans="1:15" s="104" customFormat="1" ht="35.1" customHeight="1">
      <c r="A113" s="1" t="s">
        <v>285</v>
      </c>
      <c r="B113" s="35" t="s">
        <v>270</v>
      </c>
      <c r="C113" s="35" t="s">
        <v>263</v>
      </c>
      <c r="D113" s="35" t="s">
        <v>271</v>
      </c>
      <c r="E113" s="51">
        <v>44749</v>
      </c>
      <c r="F113" s="51">
        <v>44933</v>
      </c>
      <c r="G113" s="34">
        <v>35000</v>
      </c>
      <c r="H113" s="35">
        <v>0</v>
      </c>
      <c r="I113" s="34">
        <v>1004.5</v>
      </c>
      <c r="J113" s="34">
        <v>1064</v>
      </c>
      <c r="K113" s="35">
        <v>25</v>
      </c>
      <c r="L113" s="34">
        <v>2093.5</v>
      </c>
      <c r="M113" s="34">
        <v>32906.5</v>
      </c>
      <c r="N113" s="48" t="s">
        <v>18</v>
      </c>
      <c r="O113" s="50" t="s">
        <v>19</v>
      </c>
    </row>
    <row r="114" spans="1:15" ht="35.1" customHeight="1">
      <c r="A114" s="1" t="s">
        <v>287</v>
      </c>
      <c r="B114" s="35" t="s">
        <v>275</v>
      </c>
      <c r="C114" s="35" t="s">
        <v>263</v>
      </c>
      <c r="D114" s="35" t="s">
        <v>271</v>
      </c>
      <c r="E114" s="51">
        <v>44747</v>
      </c>
      <c r="F114" s="51">
        <v>44931</v>
      </c>
      <c r="G114" s="34">
        <v>35000</v>
      </c>
      <c r="H114" s="35">
        <v>0</v>
      </c>
      <c r="I114" s="34">
        <v>1004.5</v>
      </c>
      <c r="J114" s="34">
        <v>1064</v>
      </c>
      <c r="K114" s="34">
        <v>7497.14</v>
      </c>
      <c r="L114" s="34">
        <v>9565.64</v>
      </c>
      <c r="M114" s="34">
        <v>25434.36</v>
      </c>
      <c r="N114" s="48" t="s">
        <v>18</v>
      </c>
      <c r="O114" s="50" t="s">
        <v>35</v>
      </c>
    </row>
    <row r="115" spans="1:15" ht="35.1" customHeight="1">
      <c r="A115" s="1" t="s">
        <v>289</v>
      </c>
      <c r="B115" s="35" t="s">
        <v>277</v>
      </c>
      <c r="C115" s="35" t="s">
        <v>263</v>
      </c>
      <c r="D115" s="35" t="s">
        <v>271</v>
      </c>
      <c r="E115" s="51">
        <v>44621</v>
      </c>
      <c r="F115" s="51">
        <v>44805</v>
      </c>
      <c r="G115" s="34">
        <v>35000</v>
      </c>
      <c r="H115" s="35">
        <v>0</v>
      </c>
      <c r="I115" s="34">
        <v>1004.5</v>
      </c>
      <c r="J115" s="34">
        <v>1064</v>
      </c>
      <c r="K115" s="35">
        <v>25</v>
      </c>
      <c r="L115" s="34">
        <v>2093.5</v>
      </c>
      <c r="M115" s="34">
        <v>32906.5</v>
      </c>
      <c r="N115" s="48" t="s">
        <v>18</v>
      </c>
      <c r="O115" s="50" t="s">
        <v>35</v>
      </c>
    </row>
    <row r="116" spans="1:15" ht="35.1" customHeight="1">
      <c r="A116" s="1" t="s">
        <v>291</v>
      </c>
      <c r="B116" s="35" t="s">
        <v>279</v>
      </c>
      <c r="C116" s="35" t="s">
        <v>263</v>
      </c>
      <c r="D116" s="35" t="s">
        <v>271</v>
      </c>
      <c r="E116" s="51">
        <v>44747</v>
      </c>
      <c r="F116" s="51">
        <v>44931</v>
      </c>
      <c r="G116" s="34">
        <v>35000</v>
      </c>
      <c r="H116" s="35">
        <v>0</v>
      </c>
      <c r="I116" s="34">
        <v>1004.5</v>
      </c>
      <c r="J116" s="34">
        <v>1064</v>
      </c>
      <c r="K116" s="34">
        <v>2125</v>
      </c>
      <c r="L116" s="34">
        <v>4193.5</v>
      </c>
      <c r="M116" s="34">
        <v>30806.5</v>
      </c>
      <c r="N116" s="48" t="s">
        <v>18</v>
      </c>
      <c r="O116" s="50" t="s">
        <v>35</v>
      </c>
    </row>
    <row r="117" spans="1:15" ht="35.1" customHeight="1">
      <c r="A117" s="1" t="s">
        <v>293</v>
      </c>
      <c r="B117" s="35" t="s">
        <v>281</v>
      </c>
      <c r="C117" s="35" t="s">
        <v>263</v>
      </c>
      <c r="D117" s="35" t="s">
        <v>271</v>
      </c>
      <c r="E117" s="51">
        <v>44717</v>
      </c>
      <c r="F117" s="51">
        <v>44900</v>
      </c>
      <c r="G117" s="34">
        <v>35000</v>
      </c>
      <c r="H117" s="35">
        <v>0</v>
      </c>
      <c r="I117" s="34">
        <v>1004.5</v>
      </c>
      <c r="J117" s="34">
        <v>1064</v>
      </c>
      <c r="K117" s="35">
        <v>25</v>
      </c>
      <c r="L117" s="34">
        <v>2093.5</v>
      </c>
      <c r="M117" s="34">
        <v>32906.5</v>
      </c>
      <c r="N117" s="48" t="s">
        <v>18</v>
      </c>
      <c r="O117" s="50" t="s">
        <v>19</v>
      </c>
    </row>
    <row r="118" spans="1:15" ht="35.1" customHeight="1">
      <c r="A118" s="1" t="s">
        <v>295</v>
      </c>
      <c r="B118" s="35" t="s">
        <v>283</v>
      </c>
      <c r="C118" s="35" t="s">
        <v>263</v>
      </c>
      <c r="D118" s="35" t="s">
        <v>284</v>
      </c>
      <c r="E118" s="51">
        <v>44621</v>
      </c>
      <c r="F118" s="51">
        <v>44805</v>
      </c>
      <c r="G118" s="34">
        <v>35000</v>
      </c>
      <c r="H118" s="35">
        <v>0</v>
      </c>
      <c r="I118" s="34">
        <v>1004.5</v>
      </c>
      <c r="J118" s="34">
        <v>1064</v>
      </c>
      <c r="K118" s="35">
        <v>125</v>
      </c>
      <c r="L118" s="34">
        <v>2193.5</v>
      </c>
      <c r="M118" s="34">
        <v>32806.5</v>
      </c>
      <c r="N118" s="48" t="s">
        <v>18</v>
      </c>
      <c r="O118" s="50" t="s">
        <v>35</v>
      </c>
    </row>
    <row r="119" spans="1:15" ht="35.1" customHeight="1">
      <c r="A119" s="1" t="s">
        <v>298</v>
      </c>
      <c r="B119" s="35" t="s">
        <v>286</v>
      </c>
      <c r="C119" s="35" t="s">
        <v>263</v>
      </c>
      <c r="D119" s="35" t="s">
        <v>284</v>
      </c>
      <c r="E119" s="47">
        <v>44621</v>
      </c>
      <c r="F119" s="47">
        <v>44805</v>
      </c>
      <c r="G119" s="34">
        <v>35000</v>
      </c>
      <c r="H119" s="35">
        <v>0</v>
      </c>
      <c r="I119" s="34">
        <v>1004.5</v>
      </c>
      <c r="J119" s="34">
        <v>1064</v>
      </c>
      <c r="K119" s="34">
        <v>2125</v>
      </c>
      <c r="L119" s="34">
        <f>+Tabla1[[#This Row],[ISR
(Ley 11-92)
(1*)]]+Tabla1[[#This Row],[Seguro 
de Pensión 
(2.87%)  
(2*)]]+Tabla1[[#This Row],[Seguro 
de Salud 
(3.04%)
 (3*)]]+Tabla1[[#This Row],[Otros
 Descuentos]]</f>
        <v>4193.5</v>
      </c>
      <c r="M119" s="34">
        <f>+Tabla1[[#This Row],[Sueldo Bruto
(RD$)]]-Tabla1[[#This Row],[Total de 
Descuentos]]</f>
        <v>30806.5</v>
      </c>
      <c r="N119" s="48" t="s">
        <v>18</v>
      </c>
      <c r="O119" s="50" t="s">
        <v>35</v>
      </c>
    </row>
    <row r="120" spans="1:15" ht="35.1" customHeight="1">
      <c r="A120" s="1" t="s">
        <v>301</v>
      </c>
      <c r="B120" s="35" t="s">
        <v>288</v>
      </c>
      <c r="C120" s="35" t="s">
        <v>263</v>
      </c>
      <c r="D120" s="35" t="s">
        <v>284</v>
      </c>
      <c r="E120" s="51">
        <v>44745</v>
      </c>
      <c r="F120" s="51">
        <v>44929</v>
      </c>
      <c r="G120" s="34">
        <v>35000</v>
      </c>
      <c r="H120" s="35">
        <v>0</v>
      </c>
      <c r="I120" s="34">
        <v>1004.5</v>
      </c>
      <c r="J120" s="34">
        <v>1064</v>
      </c>
      <c r="K120" s="34">
        <v>1025</v>
      </c>
      <c r="L120" s="34">
        <f>+Tabla1[[#This Row],[ISR
(Ley 11-92)
(1*)]]+Tabla1[[#This Row],[Seguro 
de Pensión 
(2.87%)  
(2*)]]+Tabla1[[#This Row],[Seguro 
de Salud 
(3.04%)
 (3*)]]+Tabla1[[#This Row],[Otros
 Descuentos]]</f>
        <v>3093.5</v>
      </c>
      <c r="M120" s="34">
        <f>+Tabla1[[#This Row],[Sueldo Bruto
(RD$)]]-Tabla1[[#This Row],[Total de 
Descuentos]]</f>
        <v>31906.5</v>
      </c>
      <c r="N120" s="48" t="s">
        <v>18</v>
      </c>
      <c r="O120" s="50" t="s">
        <v>19</v>
      </c>
    </row>
    <row r="121" spans="1:15" ht="35.1" customHeight="1">
      <c r="A121" s="1" t="s">
        <v>303</v>
      </c>
      <c r="B121" s="35" t="s">
        <v>290</v>
      </c>
      <c r="C121" s="35" t="s">
        <v>263</v>
      </c>
      <c r="D121" s="35" t="s">
        <v>284</v>
      </c>
      <c r="E121" s="47">
        <v>44669</v>
      </c>
      <c r="F121" s="47">
        <v>44852</v>
      </c>
      <c r="G121" s="34">
        <v>35000</v>
      </c>
      <c r="H121" s="35">
        <v>0</v>
      </c>
      <c r="I121" s="34">
        <v>1004.5</v>
      </c>
      <c r="J121" s="34">
        <v>1064</v>
      </c>
      <c r="K121" s="34">
        <v>5125</v>
      </c>
      <c r="L121" s="34">
        <f>+Tabla1[[#This Row],[ISR
(Ley 11-92)
(1*)]]+Tabla1[[#This Row],[Seguro 
de Pensión 
(2.87%)  
(2*)]]+Tabla1[[#This Row],[Seguro 
de Salud 
(3.04%)
 (3*)]]+Tabla1[[#This Row],[Otros
 Descuentos]]</f>
        <v>7193.5</v>
      </c>
      <c r="M121" s="34">
        <f>+Tabla1[[#This Row],[Sueldo Bruto
(RD$)]]-Tabla1[[#This Row],[Total de 
Descuentos]]</f>
        <v>27806.5</v>
      </c>
      <c r="N121" s="48" t="s">
        <v>18</v>
      </c>
      <c r="O121" s="50" t="s">
        <v>35</v>
      </c>
    </row>
    <row r="122" spans="1:15" ht="35.1" customHeight="1">
      <c r="A122" s="1" t="s">
        <v>305</v>
      </c>
      <c r="B122" s="35" t="s">
        <v>292</v>
      </c>
      <c r="C122" s="35" t="s">
        <v>263</v>
      </c>
      <c r="D122" s="35" t="s">
        <v>284</v>
      </c>
      <c r="E122" s="47">
        <v>44682</v>
      </c>
      <c r="F122" s="47">
        <v>44866</v>
      </c>
      <c r="G122" s="34">
        <v>35000</v>
      </c>
      <c r="H122" s="35">
        <v>0</v>
      </c>
      <c r="I122" s="34">
        <v>1004.5</v>
      </c>
      <c r="J122" s="34">
        <v>1064</v>
      </c>
      <c r="K122" s="35">
        <v>4325</v>
      </c>
      <c r="L122" s="34">
        <f>+Tabla1[[#This Row],[Seguro 
de Pensión 
(2.87%)  
(2*)]]+Tabla1[[#This Row],[ISR
(Ley 11-92)
(1*)]]+Tabla1[[#This Row],[Seguro 
de Salud 
(3.04%)
 (3*)]]+Tabla1[[#This Row],[Otros
 Descuentos]]</f>
        <v>6393.5</v>
      </c>
      <c r="M122" s="34">
        <f>+Tabla1[[#This Row],[Sueldo Bruto
(RD$)]]-Tabla1[[#This Row],[Total de 
Descuentos]]</f>
        <v>28606.5</v>
      </c>
      <c r="N122" s="48" t="s">
        <v>18</v>
      </c>
      <c r="O122" s="50" t="s">
        <v>19</v>
      </c>
    </row>
    <row r="123" spans="1:15" ht="35.1" customHeight="1">
      <c r="A123" s="1" t="s">
        <v>307</v>
      </c>
      <c r="B123" s="35" t="s">
        <v>294</v>
      </c>
      <c r="C123" s="35" t="s">
        <v>263</v>
      </c>
      <c r="D123" s="35" t="s">
        <v>284</v>
      </c>
      <c r="E123" s="51">
        <v>44697</v>
      </c>
      <c r="F123" s="51">
        <v>44881</v>
      </c>
      <c r="G123" s="34">
        <v>35000</v>
      </c>
      <c r="H123" s="35">
        <v>0</v>
      </c>
      <c r="I123" s="34">
        <v>1004.5</v>
      </c>
      <c r="J123" s="34">
        <v>1064</v>
      </c>
      <c r="K123" s="35">
        <v>25</v>
      </c>
      <c r="L123" s="34">
        <v>2093.5</v>
      </c>
      <c r="M123" s="34">
        <v>32906.5</v>
      </c>
      <c r="N123" s="48" t="s">
        <v>18</v>
      </c>
      <c r="O123" s="50" t="s">
        <v>19</v>
      </c>
    </row>
    <row r="124" spans="1:15" ht="35.1" customHeight="1">
      <c r="A124" s="1" t="s">
        <v>309</v>
      </c>
      <c r="B124" s="35" t="s">
        <v>618</v>
      </c>
      <c r="C124" s="35" t="s">
        <v>263</v>
      </c>
      <c r="D124" s="35" t="s">
        <v>284</v>
      </c>
      <c r="E124" s="51">
        <v>44774</v>
      </c>
      <c r="F124" s="51">
        <v>44958</v>
      </c>
      <c r="G124" s="34">
        <v>35000</v>
      </c>
      <c r="H124" s="34">
        <v>0</v>
      </c>
      <c r="I124" s="34">
        <f>+Tabla1[[#This Row],[Sueldo Bruto
(RD$)]]*0.0287</f>
        <v>1004.5</v>
      </c>
      <c r="J124" s="34">
        <f>+Tabla1[[#This Row],[Sueldo Bruto
(RD$)]]*0.0304</f>
        <v>1064</v>
      </c>
      <c r="K124" s="35">
        <v>25</v>
      </c>
      <c r="L124" s="34">
        <f>+Tabla1[[#This Row],[Seguro 
de Pensión 
(2.87%)  
(2*)]]+Tabla1[[#This Row],[Seguro 
de Salud 
(3.04%)
 (3*)]]+Tabla1[[#This Row],[Otros
 Descuentos]]</f>
        <v>2093.5</v>
      </c>
      <c r="M124" s="34">
        <f>+Tabla1[[#This Row],[Sueldo Bruto
(RD$)]]-Tabla1[[#This Row],[Total de 
Descuentos]]</f>
        <v>32906.5</v>
      </c>
      <c r="N124" s="48" t="s">
        <v>18</v>
      </c>
      <c r="O124" s="50" t="s">
        <v>19</v>
      </c>
    </row>
    <row r="125" spans="1:15" ht="35.1" customHeight="1">
      <c r="A125" s="1" t="s">
        <v>311</v>
      </c>
      <c r="B125" s="35" t="s">
        <v>296</v>
      </c>
      <c r="C125" s="35" t="s">
        <v>297</v>
      </c>
      <c r="D125" s="35" t="s">
        <v>64</v>
      </c>
      <c r="E125" s="51">
        <v>44621</v>
      </c>
      <c r="F125" s="51">
        <v>44805</v>
      </c>
      <c r="G125" s="34">
        <v>100000</v>
      </c>
      <c r="H125" s="34">
        <v>12105.37</v>
      </c>
      <c r="I125" s="34">
        <v>2870</v>
      </c>
      <c r="J125" s="34">
        <v>3040</v>
      </c>
      <c r="K125" s="34">
        <v>1025</v>
      </c>
      <c r="L125" s="34">
        <v>19040.37</v>
      </c>
      <c r="M125" s="34">
        <v>80959.63</v>
      </c>
      <c r="N125" s="48" t="s">
        <v>18</v>
      </c>
      <c r="O125" s="50" t="s">
        <v>19</v>
      </c>
    </row>
    <row r="126" spans="1:15" ht="35.1" customHeight="1">
      <c r="A126" s="1" t="s">
        <v>530</v>
      </c>
      <c r="B126" s="35" t="s">
        <v>299</v>
      </c>
      <c r="C126" s="35" t="s">
        <v>297</v>
      </c>
      <c r="D126" s="35" t="s">
        <v>300</v>
      </c>
      <c r="E126" s="47">
        <v>44652</v>
      </c>
      <c r="F126" s="47">
        <v>44835</v>
      </c>
      <c r="G126" s="34">
        <v>42000</v>
      </c>
      <c r="H126" s="35">
        <v>724.92</v>
      </c>
      <c r="I126" s="34">
        <v>1205.4000000000001</v>
      </c>
      <c r="J126" s="34">
        <v>1276.8</v>
      </c>
      <c r="K126" s="34">
        <v>1025</v>
      </c>
      <c r="L126" s="34">
        <v>4232.12</v>
      </c>
      <c r="M126" s="34">
        <v>37767.879999999997</v>
      </c>
      <c r="N126" s="48" t="s">
        <v>18</v>
      </c>
      <c r="O126" s="50" t="s">
        <v>19</v>
      </c>
    </row>
    <row r="127" spans="1:15" ht="35.1" customHeight="1">
      <c r="A127" s="1" t="s">
        <v>531</v>
      </c>
      <c r="B127" s="35" t="s">
        <v>304</v>
      </c>
      <c r="C127" s="35" t="s">
        <v>302</v>
      </c>
      <c r="D127" s="35" t="s">
        <v>17</v>
      </c>
      <c r="E127" s="47">
        <v>44713</v>
      </c>
      <c r="F127" s="47">
        <v>44896</v>
      </c>
      <c r="G127" s="34">
        <v>100000</v>
      </c>
      <c r="H127" s="34">
        <v>12105.37</v>
      </c>
      <c r="I127" s="34">
        <v>2870</v>
      </c>
      <c r="J127" s="34">
        <v>3040</v>
      </c>
      <c r="K127" s="35">
        <v>599.84</v>
      </c>
      <c r="L127" s="34">
        <f>+Tabla1[[#This Row],[ISR
(Ley 11-92)
(1*)]]+Tabla1[[#This Row],[Seguro 
de Pensión 
(2.87%)  
(2*)]]+Tabla1[[#This Row],[Seguro 
de Salud 
(3.04%)
 (3*)]]+Tabla1[[#This Row],[Otros
 Descuentos]]</f>
        <v>18615.210000000003</v>
      </c>
      <c r="M127" s="34">
        <f>+Tabla1[[#This Row],[Sueldo Bruto
(RD$)]]-Tabla1[[#This Row],[Total de 
Descuentos]]</f>
        <v>81384.789999999994</v>
      </c>
      <c r="N127" s="48" t="s">
        <v>18</v>
      </c>
      <c r="O127" s="50" t="s">
        <v>19</v>
      </c>
    </row>
    <row r="128" spans="1:15" ht="35.1" customHeight="1">
      <c r="A128" s="1" t="s">
        <v>532</v>
      </c>
      <c r="B128" s="35" t="s">
        <v>306</v>
      </c>
      <c r="C128" s="35" t="s">
        <v>302</v>
      </c>
      <c r="D128" s="35" t="s">
        <v>17</v>
      </c>
      <c r="E128" s="51">
        <v>44621</v>
      </c>
      <c r="F128" s="51">
        <v>44805</v>
      </c>
      <c r="G128" s="34">
        <v>100000</v>
      </c>
      <c r="H128" s="34">
        <v>12105.37</v>
      </c>
      <c r="I128" s="34">
        <v>2870</v>
      </c>
      <c r="J128" s="34">
        <v>3040</v>
      </c>
      <c r="K128" s="34">
        <v>5125</v>
      </c>
      <c r="L128" s="34">
        <v>23140.37</v>
      </c>
      <c r="M128" s="34">
        <v>76859.63</v>
      </c>
      <c r="N128" s="48" t="s">
        <v>18</v>
      </c>
      <c r="O128" s="50" t="s">
        <v>35</v>
      </c>
    </row>
    <row r="129" spans="1:15" ht="35.1" customHeight="1">
      <c r="A129" s="1" t="s">
        <v>533</v>
      </c>
      <c r="B129" s="35" t="s">
        <v>308</v>
      </c>
      <c r="C129" s="35" t="s">
        <v>302</v>
      </c>
      <c r="D129" s="35" t="s">
        <v>165</v>
      </c>
      <c r="E129" s="51">
        <v>44652</v>
      </c>
      <c r="F129" s="51">
        <v>44835</v>
      </c>
      <c r="G129" s="34">
        <v>70000</v>
      </c>
      <c r="H129" s="34">
        <v>5368.48</v>
      </c>
      <c r="I129" s="34">
        <v>2009</v>
      </c>
      <c r="J129" s="34">
        <v>2128</v>
      </c>
      <c r="K129" s="35">
        <v>725</v>
      </c>
      <c r="L129" s="34">
        <f>+Tabla1[[#This Row],[ISR
(Ley 11-92)
(1*)]]+Tabla1[[#This Row],[Seguro 
de Pensión 
(2.87%)  
(2*)]]+Tabla1[[#This Row],[Seguro 
de Salud 
(3.04%)
 (3*)]]+Tabla1[[#This Row],[Otros
 Descuentos]]</f>
        <v>10230.48</v>
      </c>
      <c r="M129" s="34">
        <f>+Tabla1[[#This Row],[Sueldo Bruto
(RD$)]]-Tabla1[[#This Row],[Total de 
Descuentos]]</f>
        <v>59769.520000000004</v>
      </c>
      <c r="N129" s="48" t="s">
        <v>18</v>
      </c>
      <c r="O129" s="50" t="s">
        <v>35</v>
      </c>
    </row>
    <row r="130" spans="1:15" ht="35.1" customHeight="1">
      <c r="A130" s="1" t="s">
        <v>534</v>
      </c>
      <c r="B130" s="35" t="s">
        <v>310</v>
      </c>
      <c r="C130" s="35" t="s">
        <v>302</v>
      </c>
      <c r="D130" s="35" t="s">
        <v>165</v>
      </c>
      <c r="E130" s="51">
        <v>44682</v>
      </c>
      <c r="F130" s="51">
        <v>44866</v>
      </c>
      <c r="G130" s="34">
        <v>85000</v>
      </c>
      <c r="H130" s="34">
        <v>8576.99</v>
      </c>
      <c r="I130" s="34">
        <v>2439.5</v>
      </c>
      <c r="J130" s="34">
        <v>2584</v>
      </c>
      <c r="K130" s="35">
        <v>25</v>
      </c>
      <c r="L130" s="34">
        <v>13625.49</v>
      </c>
      <c r="M130" s="34">
        <v>71374.509999999995</v>
      </c>
      <c r="N130" s="48" t="s">
        <v>18</v>
      </c>
      <c r="O130" s="50" t="s">
        <v>35</v>
      </c>
    </row>
    <row r="131" spans="1:15" ht="35.1" customHeight="1">
      <c r="A131" s="1" t="s">
        <v>535</v>
      </c>
      <c r="B131" s="35" t="s">
        <v>312</v>
      </c>
      <c r="C131" s="35" t="s">
        <v>302</v>
      </c>
      <c r="D131" s="35" t="s">
        <v>165</v>
      </c>
      <c r="E131" s="51">
        <v>44682</v>
      </c>
      <c r="F131" s="51">
        <v>44866</v>
      </c>
      <c r="G131" s="34">
        <v>65000</v>
      </c>
      <c r="H131" s="99">
        <v>1264.99</v>
      </c>
      <c r="I131" s="34">
        <v>1865.5</v>
      </c>
      <c r="J131" s="34">
        <v>1976</v>
      </c>
      <c r="K131" s="35">
        <v>25</v>
      </c>
      <c r="L131" s="34">
        <f>+Tabla1[[#This Row],[ISR
(Ley 11-92)
(1*)]]+Tabla1[[#This Row],[Seguro 
de Pensión 
(2.87%)  
(2*)]]+Tabla1[[#This Row],[Seguro 
de Salud 
(3.04%)
 (3*)]]+Tabla1[[#This Row],[Otros
 Descuentos]]</f>
        <v>5131.49</v>
      </c>
      <c r="M131" s="34">
        <f>+Tabla1[[#This Row],[Sueldo Bruto
(RD$)]]-Tabla1[[#This Row],[Total de 
Descuentos]]</f>
        <v>59868.51</v>
      </c>
      <c r="N131" s="48" t="s">
        <v>18</v>
      </c>
      <c r="O131" s="50" t="s">
        <v>19</v>
      </c>
    </row>
    <row r="132" spans="1:15" ht="35.1" customHeight="1">
      <c r="A132" s="22"/>
      <c r="B132" s="83" t="s">
        <v>314</v>
      </c>
      <c r="C132" s="23"/>
      <c r="D132" s="23"/>
      <c r="E132" s="23"/>
      <c r="F132" s="24"/>
      <c r="G132" s="135">
        <f>SUBTOTAL(109,Tabla1[Sueldo Bruto
(RD$)])</f>
        <v>9129000</v>
      </c>
      <c r="H132" s="135">
        <f>SUBTOTAL(109,Tabla1[ISR
(Ley 11-92)
(1*)])</f>
        <v>715280.25999999989</v>
      </c>
      <c r="I132" s="135">
        <f>SUBTOTAL(109,Tabla1[Seguro 
de Pensión 
(2.87%)  
(2*)])</f>
        <v>262002.29999999996</v>
      </c>
      <c r="J132" s="135">
        <f>SUBTOTAL(109,Tabla1[Seguro 
de Salud 
(3.04%)
 (3*)])</f>
        <v>277521.59999999992</v>
      </c>
      <c r="K132" s="135">
        <f>SUBTOTAL(109,Tabla1[Otros
 Descuentos])</f>
        <v>214283.36999999994</v>
      </c>
      <c r="L132" s="135">
        <f>SUBTOTAL(109,Tabla1[Total de 
Descuentos])</f>
        <v>1469087.5300000007</v>
      </c>
      <c r="M132" s="135">
        <f>SUBTOTAL(109,Tabla1[Sueldo
Neto
(RD$)])</f>
        <v>7659912.4699999942</v>
      </c>
      <c r="N132" s="136"/>
      <c r="O132" s="137">
        <f>SUBTOTAL(103,Tabla1[sexo])</f>
        <v>124</v>
      </c>
    </row>
    <row r="133" spans="1:15" s="104" customFormat="1" ht="22.5" customHeight="1">
      <c r="A133" s="127"/>
      <c r="B133" s="128"/>
      <c r="C133" s="127"/>
      <c r="D133" s="127"/>
      <c r="E133" s="127"/>
      <c r="F133" s="127"/>
      <c r="G133" s="129"/>
      <c r="H133" s="129"/>
      <c r="I133" s="129"/>
      <c r="J133" s="129"/>
      <c r="K133" s="129"/>
      <c r="L133" s="129"/>
      <c r="M133" s="129"/>
      <c r="N133" s="127"/>
      <c r="O133" s="127"/>
    </row>
    <row r="134" spans="1:15" ht="24.95" customHeight="1">
      <c r="A134" s="8" t="s">
        <v>315</v>
      </c>
      <c r="B134" s="9"/>
      <c r="D134" s="9"/>
    </row>
    <row r="135" spans="1:15" s="130" customFormat="1" ht="24.95" customHeight="1">
      <c r="A135" s="116" t="s">
        <v>316</v>
      </c>
      <c r="B135" s="117"/>
      <c r="D135" s="117"/>
    </row>
    <row r="136" spans="1:15" s="130" customFormat="1" ht="24.95" customHeight="1">
      <c r="A136" s="117" t="s">
        <v>317</v>
      </c>
      <c r="B136" s="117"/>
      <c r="D136" s="117"/>
    </row>
    <row r="137" spans="1:15" s="130" customFormat="1" ht="24.95" customHeight="1">
      <c r="A137" s="117" t="s">
        <v>318</v>
      </c>
      <c r="B137" s="117"/>
      <c r="D137" s="117"/>
    </row>
    <row r="138" spans="1:15" ht="20.100000000000001" customHeight="1">
      <c r="A138" s="11"/>
      <c r="B138" s="11"/>
      <c r="D138" s="11"/>
    </row>
    <row r="139" spans="1:15" ht="20.100000000000001" customHeight="1">
      <c r="A139" s="11"/>
      <c r="B139" s="11"/>
      <c r="D139" s="11"/>
    </row>
    <row r="140" spans="1:15" ht="19.5" customHeight="1">
      <c r="A140" s="12"/>
      <c r="B140" s="13"/>
      <c r="D140" s="13"/>
    </row>
    <row r="141" spans="1:15" ht="20.100000000000001" customHeight="1"/>
    <row r="142" spans="1:15" ht="28.5">
      <c r="A142" s="131" t="s">
        <v>319</v>
      </c>
      <c r="B142" s="132"/>
      <c r="D142" s="16"/>
      <c r="J142" s="118"/>
    </row>
    <row r="143" spans="1:15" ht="28.5">
      <c r="A143" s="133" t="s">
        <v>320</v>
      </c>
      <c r="B143" s="134"/>
      <c r="D143" s="19"/>
    </row>
  </sheetData>
  <mergeCells count="2">
    <mergeCell ref="A1:O1"/>
    <mergeCell ref="A2:O2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35" fitToHeight="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zoomScale="50" zoomScaleNormal="50" workbookViewId="0">
      <selection activeCell="B65" sqref="B65"/>
    </sheetView>
  </sheetViews>
  <sheetFormatPr baseColWidth="10" defaultRowHeight="15"/>
  <cols>
    <col min="1" max="1" width="16.140625" customWidth="1"/>
    <col min="2" max="2" width="48.140625" bestFit="1" customWidth="1"/>
    <col min="3" max="3" width="77" bestFit="1" customWidth="1"/>
    <col min="4" max="4" width="57.5703125" bestFit="1" customWidth="1"/>
    <col min="5" max="6" width="19" bestFit="1" customWidth="1"/>
    <col min="7" max="7" width="23.140625" bestFit="1" customWidth="1"/>
    <col min="8" max="9" width="20.85546875" bestFit="1" customWidth="1"/>
    <col min="10" max="10" width="18.42578125" bestFit="1" customWidth="1"/>
    <col min="11" max="11" width="22.5703125" bestFit="1" customWidth="1"/>
    <col min="12" max="12" width="21.85546875" bestFit="1" customWidth="1"/>
    <col min="13" max="13" width="21.5703125" bestFit="1" customWidth="1"/>
    <col min="14" max="14" width="28.5703125" bestFit="1" customWidth="1"/>
    <col min="15" max="15" width="13.5703125" bestFit="1" customWidth="1"/>
  </cols>
  <sheetData>
    <row r="1" spans="1:15" ht="30" customHeight="1"/>
    <row r="2" spans="1:15" ht="28.5">
      <c r="A2" s="140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</row>
    <row r="3" spans="1:15" ht="28.5">
      <c r="A3" s="140" t="s">
        <v>615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8" spans="1:15" ht="86.25" customHeight="1" thickBot="1">
      <c r="A8" s="62" t="s">
        <v>1</v>
      </c>
      <c r="B8" s="63" t="s">
        <v>2</v>
      </c>
      <c r="C8" s="63" t="s">
        <v>3</v>
      </c>
      <c r="D8" s="63" t="s">
        <v>4</v>
      </c>
      <c r="E8" s="64" t="s">
        <v>608</v>
      </c>
      <c r="F8" s="64" t="s">
        <v>609</v>
      </c>
      <c r="G8" s="64" t="s">
        <v>5</v>
      </c>
      <c r="H8" s="65" t="s">
        <v>6</v>
      </c>
      <c r="I8" s="65" t="s">
        <v>7</v>
      </c>
      <c r="J8" s="65" t="s">
        <v>8</v>
      </c>
      <c r="K8" s="64" t="s">
        <v>9</v>
      </c>
      <c r="L8" s="64" t="s">
        <v>10</v>
      </c>
      <c r="M8" s="64" t="s">
        <v>11</v>
      </c>
      <c r="N8" s="63" t="s">
        <v>12</v>
      </c>
      <c r="O8" s="63" t="s">
        <v>13</v>
      </c>
    </row>
    <row r="9" spans="1:15" ht="30" customHeight="1">
      <c r="A9" s="54"/>
      <c r="B9" s="55"/>
      <c r="C9" s="55"/>
      <c r="D9" s="56"/>
      <c r="E9" s="71"/>
      <c r="F9" s="71"/>
      <c r="G9" s="57"/>
      <c r="H9" s="57"/>
      <c r="I9" s="58"/>
      <c r="J9" s="58"/>
      <c r="K9" s="57"/>
      <c r="L9" s="57"/>
      <c r="M9" s="58"/>
      <c r="N9" s="59"/>
      <c r="O9" s="60"/>
    </row>
    <row r="10" spans="1:15" ht="21">
      <c r="A10" s="66"/>
      <c r="B10" s="67" t="s">
        <v>314</v>
      </c>
      <c r="C10" s="21"/>
      <c r="D10" s="3"/>
      <c r="E10" s="68"/>
      <c r="F10" s="68"/>
      <c r="G10" s="69">
        <f>SUBTOTAL(109,Tabla2[Sueldo Bruto
(RD$)])</f>
        <v>0</v>
      </c>
      <c r="H10" s="69">
        <f>SUBTOTAL(109,Tabla2[ISR
(Ley 11-92)
(1*)])</f>
        <v>0</v>
      </c>
      <c r="I10" s="69">
        <f>SUBTOTAL(109,Tabla2[Seguro 
de Pensión 
(2.87%)  
(2*)])</f>
        <v>0</v>
      </c>
      <c r="J10" s="69">
        <f>SUBTOTAL(109,Tabla2[Seguro 
de Salud 
(3.04%)
 (3*)])</f>
        <v>0</v>
      </c>
      <c r="K10" s="69">
        <f>SUBTOTAL(109,Tabla2[Otros
 Descuentos])</f>
        <v>0</v>
      </c>
      <c r="L10" s="69">
        <f>SUBTOTAL(109,Tabla2[Total de 
Descuentos])</f>
        <v>0</v>
      </c>
      <c r="M10" s="69">
        <f>SUBTOTAL(109,Tabla2[Sueldo
Neto
(RD$)])</f>
        <v>0</v>
      </c>
      <c r="N10" s="70"/>
      <c r="O10" s="7"/>
    </row>
    <row r="12" spans="1:15" ht="15.75">
      <c r="A12" s="115" t="s">
        <v>315</v>
      </c>
      <c r="B12" s="9"/>
      <c r="C12" s="9"/>
    </row>
    <row r="13" spans="1:15">
      <c r="A13" s="116" t="s">
        <v>316</v>
      </c>
      <c r="B13" s="10"/>
      <c r="C13" s="10"/>
    </row>
    <row r="14" spans="1:15">
      <c r="A14" s="117" t="s">
        <v>317</v>
      </c>
      <c r="B14" s="10"/>
      <c r="C14" s="10"/>
    </row>
    <row r="15" spans="1:15">
      <c r="A15" s="117" t="s">
        <v>318</v>
      </c>
      <c r="B15" s="10"/>
      <c r="C15" s="10"/>
    </row>
    <row r="16" spans="1:15" ht="18.75">
      <c r="A16" s="11"/>
      <c r="B16" s="11"/>
      <c r="C16" s="11"/>
    </row>
    <row r="17" spans="1:15" ht="17.25" thickBot="1">
      <c r="A17" s="112"/>
      <c r="B17" s="112"/>
      <c r="C17" s="112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2"/>
      <c r="O17" s="112"/>
    </row>
    <row r="18" spans="1:15" ht="35.25" customHeight="1" thickTop="1">
      <c r="A18" s="141" t="s">
        <v>617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</row>
    <row r="19" spans="1:15" ht="25.5"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38"/>
    </row>
    <row r="20" spans="1:15" ht="25.5"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39"/>
    </row>
    <row r="21" spans="1:15" ht="26.25">
      <c r="A21" s="14" t="s">
        <v>319</v>
      </c>
      <c r="B21" s="15"/>
      <c r="C21" s="16"/>
    </row>
    <row r="22" spans="1:15" ht="26.25">
      <c r="A22" s="17" t="s">
        <v>320</v>
      </c>
      <c r="B22" s="18"/>
      <c r="C22" s="19"/>
    </row>
  </sheetData>
  <mergeCells count="3">
    <mergeCell ref="A2:O2"/>
    <mergeCell ref="A3:O3"/>
    <mergeCell ref="A18:O18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39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="40" zoomScaleNormal="40" workbookViewId="0">
      <selection activeCell="A2" sqref="A2:N2"/>
    </sheetView>
  </sheetViews>
  <sheetFormatPr baseColWidth="10" defaultRowHeight="15"/>
  <cols>
    <col min="1" max="1" width="13.85546875" bestFit="1" customWidth="1"/>
    <col min="2" max="2" width="51.28515625" bestFit="1" customWidth="1"/>
    <col min="3" max="3" width="81.85546875" bestFit="1" customWidth="1"/>
    <col min="4" max="4" width="40" bestFit="1" customWidth="1"/>
    <col min="5" max="5" width="20.7109375" bestFit="1" customWidth="1"/>
    <col min="6" max="6" width="26.140625" bestFit="1" customWidth="1"/>
    <col min="7" max="7" width="24" bestFit="1" customWidth="1"/>
    <col min="8" max="8" width="23.42578125" bestFit="1" customWidth="1"/>
    <col min="9" max="9" width="20" bestFit="1" customWidth="1"/>
    <col min="10" max="10" width="24.85546875" bestFit="1" customWidth="1"/>
    <col min="11" max="11" width="24.140625" bestFit="1" customWidth="1"/>
    <col min="12" max="12" width="18.28515625" bestFit="1" customWidth="1"/>
    <col min="13" max="13" width="22.28515625" bestFit="1" customWidth="1"/>
  </cols>
  <sheetData>
    <row r="1" spans="1:14" ht="28.5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28.5">
      <c r="A2" s="140" t="s">
        <v>614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8" spans="1:14" ht="84.75" thickBot="1">
      <c r="A8" s="72" t="s">
        <v>1</v>
      </c>
      <c r="B8" s="73" t="s">
        <v>2</v>
      </c>
      <c r="C8" s="73" t="s">
        <v>3</v>
      </c>
      <c r="D8" s="73" t="s">
        <v>4</v>
      </c>
      <c r="E8" s="74" t="s">
        <v>610</v>
      </c>
      <c r="F8" s="74" t="s">
        <v>5</v>
      </c>
      <c r="G8" s="75" t="s">
        <v>6</v>
      </c>
      <c r="H8" s="75" t="s">
        <v>7</v>
      </c>
      <c r="I8" s="75" t="s">
        <v>8</v>
      </c>
      <c r="J8" s="74" t="s">
        <v>9</v>
      </c>
      <c r="K8" s="74" t="s">
        <v>10</v>
      </c>
      <c r="L8" s="74" t="s">
        <v>11</v>
      </c>
      <c r="M8" s="74" t="s">
        <v>560</v>
      </c>
      <c r="N8" s="73" t="s">
        <v>13</v>
      </c>
    </row>
    <row r="9" spans="1:14" ht="30" customHeight="1">
      <c r="A9" s="53" t="s">
        <v>14</v>
      </c>
      <c r="B9" s="76" t="s">
        <v>557</v>
      </c>
      <c r="C9" s="76" t="s">
        <v>263</v>
      </c>
      <c r="D9" s="77" t="s">
        <v>558</v>
      </c>
      <c r="E9" s="78">
        <v>35326</v>
      </c>
      <c r="F9" s="79">
        <v>135000</v>
      </c>
      <c r="G9" s="79">
        <v>20000.71</v>
      </c>
      <c r="H9" s="80">
        <f>+F9*0.0287</f>
        <v>3874.5</v>
      </c>
      <c r="I9" s="80">
        <f>+F9*0.0304</f>
        <v>4104</v>
      </c>
      <c r="J9" s="79">
        <v>3044.16</v>
      </c>
      <c r="K9" s="79">
        <f>SUM(G9:J9)</f>
        <v>31023.37</v>
      </c>
      <c r="L9" s="80">
        <f>+F9-K9</f>
        <v>103976.63</v>
      </c>
      <c r="M9" s="81" t="s">
        <v>313</v>
      </c>
      <c r="N9" s="82" t="s">
        <v>19</v>
      </c>
    </row>
    <row r="10" spans="1:14" ht="21">
      <c r="A10" s="2"/>
      <c r="B10" s="20" t="s">
        <v>314</v>
      </c>
      <c r="C10" s="21"/>
      <c r="D10" s="3"/>
      <c r="E10" s="4"/>
      <c r="F10" s="5">
        <f>SUBTOTAL(109,Tabla256[Sueldo Bruto
(RD$)])</f>
        <v>135000</v>
      </c>
      <c r="G10" s="5">
        <f>SUBTOTAL(109,Tabla256[ISR
(Ley 11-92)
(1*)])</f>
        <v>20000.71</v>
      </c>
      <c r="H10" s="5">
        <f>SUBTOTAL(109,Tabla256[Seguro 
de Pensión 
(2.87%)  
(2*)])</f>
        <v>3874.5</v>
      </c>
      <c r="I10" s="5">
        <f>SUBTOTAL(109,Tabla256[Seguro 
de Salud 
(3.04%)
 (3*)])</f>
        <v>4104</v>
      </c>
      <c r="J10" s="5">
        <f>SUBTOTAL(109,Tabla256[Otros
 Descuentos])</f>
        <v>3044.16</v>
      </c>
      <c r="K10" s="5">
        <f>SUBTOTAL(109,Tabla256[Total de 
Descuentos])</f>
        <v>31023.37</v>
      </c>
      <c r="L10" s="5">
        <f>SUBTOTAL(109,Tabla256[Sueldo
Neto
(RD$)])</f>
        <v>103976.63</v>
      </c>
      <c r="M10" s="6"/>
      <c r="N10" s="7"/>
    </row>
    <row r="12" spans="1:14">
      <c r="C12" s="9"/>
    </row>
    <row r="13" spans="1:14">
      <c r="A13" s="8" t="s">
        <v>315</v>
      </c>
      <c r="B13" s="9"/>
      <c r="C13" s="10"/>
    </row>
    <row r="14" spans="1:14">
      <c r="A14" s="9" t="s">
        <v>316</v>
      </c>
      <c r="B14" s="10"/>
      <c r="C14" s="10"/>
    </row>
    <row r="15" spans="1:14">
      <c r="A15" s="10" t="s">
        <v>317</v>
      </c>
      <c r="B15" s="10"/>
      <c r="C15" s="10"/>
    </row>
    <row r="16" spans="1:14" ht="18.75">
      <c r="A16" s="10" t="s">
        <v>318</v>
      </c>
      <c r="B16" s="10"/>
      <c r="C16" s="11"/>
    </row>
    <row r="17" spans="1:3" ht="18.75">
      <c r="A17" s="11"/>
      <c r="B17" s="11"/>
      <c r="C17" s="13"/>
    </row>
    <row r="18" spans="1:3" ht="16.5">
      <c r="A18" s="12"/>
      <c r="B18" s="13"/>
    </row>
    <row r="19" spans="1:3" ht="23.25">
      <c r="C19" s="16"/>
    </row>
    <row r="20" spans="1:3" ht="26.25">
      <c r="A20" s="14" t="s">
        <v>319</v>
      </c>
      <c r="B20" s="15"/>
      <c r="C20" s="19"/>
    </row>
    <row r="21" spans="1:3" ht="26.25">
      <c r="A21" s="17" t="s">
        <v>320</v>
      </c>
      <c r="B21" s="18"/>
    </row>
  </sheetData>
  <mergeCells count="2">
    <mergeCell ref="A1:N1"/>
    <mergeCell ref="A2:N2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35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="60" zoomScaleNormal="60" workbookViewId="0">
      <selection activeCell="E10" sqref="E10:E24"/>
    </sheetView>
  </sheetViews>
  <sheetFormatPr baseColWidth="10" defaultRowHeight="15"/>
  <cols>
    <col min="1" max="1" width="51.28515625" bestFit="1" customWidth="1"/>
    <col min="2" max="2" width="51.28515625" customWidth="1"/>
    <col min="3" max="3" width="81.85546875" bestFit="1" customWidth="1"/>
    <col min="4" max="4" width="40" bestFit="1" customWidth="1"/>
    <col min="5" max="5" width="26.140625" bestFit="1" customWidth="1"/>
    <col min="6" max="6" width="24" bestFit="1" customWidth="1"/>
    <col min="7" max="7" width="18.28515625" bestFit="1" customWidth="1"/>
  </cols>
  <sheetData>
    <row r="1" spans="1:8" ht="28.5">
      <c r="A1" s="140" t="s">
        <v>0</v>
      </c>
      <c r="B1" s="140"/>
      <c r="C1" s="140"/>
      <c r="D1" s="140"/>
      <c r="E1" s="140"/>
      <c r="F1" s="140"/>
      <c r="G1" s="140"/>
      <c r="H1" s="140"/>
    </row>
    <row r="2" spans="1:8" ht="28.5">
      <c r="A2" s="140" t="s">
        <v>613</v>
      </c>
      <c r="B2" s="140"/>
      <c r="C2" s="140"/>
      <c r="D2" s="140"/>
      <c r="E2" s="140"/>
      <c r="F2" s="140"/>
      <c r="G2" s="140"/>
      <c r="H2" s="140"/>
    </row>
    <row r="8" spans="1:8" ht="63">
      <c r="A8" s="88" t="s">
        <v>2</v>
      </c>
      <c r="B8" s="88" t="s">
        <v>585</v>
      </c>
      <c r="C8" s="88" t="s">
        <v>3</v>
      </c>
      <c r="D8" s="88" t="s">
        <v>4</v>
      </c>
      <c r="E8" s="89" t="s">
        <v>5</v>
      </c>
      <c r="F8" s="90" t="s">
        <v>6</v>
      </c>
      <c r="G8" s="89" t="s">
        <v>11</v>
      </c>
      <c r="H8" s="88" t="s">
        <v>13</v>
      </c>
    </row>
    <row r="9" spans="1:8" ht="30" customHeight="1">
      <c r="A9" s="91" t="s">
        <v>561</v>
      </c>
      <c r="B9" s="91" t="s">
        <v>586</v>
      </c>
      <c r="C9" s="91" t="s">
        <v>579</v>
      </c>
      <c r="D9" s="91" t="s">
        <v>580</v>
      </c>
      <c r="E9" s="92">
        <v>60000</v>
      </c>
      <c r="F9" s="96">
        <v>4195.88</v>
      </c>
      <c r="G9" s="92">
        <f>+Tabla25[[#This Row],[Sueldo Bruto
(RD$)]]-Tabla25[[#This Row],[ISR
(Ley 11-92)
(1*)]]</f>
        <v>55804.12</v>
      </c>
      <c r="H9" s="91" t="s">
        <v>19</v>
      </c>
    </row>
    <row r="10" spans="1:8" ht="30" customHeight="1">
      <c r="A10" s="91" t="s">
        <v>562</v>
      </c>
      <c r="B10" s="91" t="s">
        <v>589</v>
      </c>
      <c r="C10" s="91" t="s">
        <v>579</v>
      </c>
      <c r="D10" s="91" t="s">
        <v>581</v>
      </c>
      <c r="E10" s="92">
        <v>14000</v>
      </c>
      <c r="F10" s="95"/>
      <c r="G10" s="92">
        <f>+Tabla25[[#This Row],[Sueldo Bruto
(RD$)]]-Tabla25[[#This Row],[ISR
(Ley 11-92)
(1*)]]</f>
        <v>14000</v>
      </c>
      <c r="H10" s="91" t="s">
        <v>35</v>
      </c>
    </row>
    <row r="11" spans="1:8" ht="30" customHeight="1">
      <c r="A11" s="91" t="s">
        <v>563</v>
      </c>
      <c r="B11" s="91" t="s">
        <v>588</v>
      </c>
      <c r="C11" s="91" t="s">
        <v>579</v>
      </c>
      <c r="D11" s="91" t="s">
        <v>581</v>
      </c>
      <c r="E11" s="92">
        <v>12500</v>
      </c>
      <c r="F11" s="95"/>
      <c r="G11" s="92">
        <f>+Tabla25[[#This Row],[Sueldo Bruto
(RD$)]]-Tabla25[[#This Row],[ISR
(Ley 11-92)
(1*)]]</f>
        <v>12500</v>
      </c>
      <c r="H11" s="91" t="s">
        <v>35</v>
      </c>
    </row>
    <row r="12" spans="1:8" ht="30" customHeight="1">
      <c r="A12" s="91" t="s">
        <v>564</v>
      </c>
      <c r="B12" s="91" t="s">
        <v>587</v>
      </c>
      <c r="C12" s="91" t="s">
        <v>579</v>
      </c>
      <c r="D12" s="91" t="s">
        <v>581</v>
      </c>
      <c r="E12" s="92">
        <v>12500</v>
      </c>
      <c r="F12" s="95"/>
      <c r="G12" s="92">
        <f>+Tabla25[[#This Row],[Sueldo Bruto
(RD$)]]-Tabla25[[#This Row],[ISR
(Ley 11-92)
(1*)]]</f>
        <v>12500</v>
      </c>
      <c r="H12" s="91" t="s">
        <v>35</v>
      </c>
    </row>
    <row r="13" spans="1:8" ht="30" customHeight="1">
      <c r="A13" s="91" t="s">
        <v>565</v>
      </c>
      <c r="B13" s="91" t="s">
        <v>590</v>
      </c>
      <c r="C13" s="91" t="s">
        <v>579</v>
      </c>
      <c r="D13" s="91" t="s">
        <v>581</v>
      </c>
      <c r="E13" s="92">
        <v>12500</v>
      </c>
      <c r="F13" s="95"/>
      <c r="G13" s="92">
        <f>+Tabla25[[#This Row],[Sueldo Bruto
(RD$)]]-Tabla25[[#This Row],[ISR
(Ley 11-92)
(1*)]]</f>
        <v>12500</v>
      </c>
      <c r="H13" s="91" t="s">
        <v>35</v>
      </c>
    </row>
    <row r="14" spans="1:8" ht="30" customHeight="1">
      <c r="A14" s="91" t="s">
        <v>566</v>
      </c>
      <c r="B14" s="91" t="s">
        <v>590</v>
      </c>
      <c r="C14" s="91" t="s">
        <v>579</v>
      </c>
      <c r="D14" s="91" t="s">
        <v>581</v>
      </c>
      <c r="E14" s="92">
        <v>12500</v>
      </c>
      <c r="F14" s="95"/>
      <c r="G14" s="92">
        <f>+Tabla25[[#This Row],[Sueldo Bruto
(RD$)]]-Tabla25[[#This Row],[ISR
(Ley 11-92)
(1*)]]</f>
        <v>12500</v>
      </c>
      <c r="H14" s="91" t="s">
        <v>35</v>
      </c>
    </row>
    <row r="15" spans="1:8" ht="30" customHeight="1">
      <c r="A15" s="91" t="s">
        <v>567</v>
      </c>
      <c r="B15" s="91" t="s">
        <v>591</v>
      </c>
      <c r="C15" s="91" t="s">
        <v>579</v>
      </c>
      <c r="D15" s="91" t="s">
        <v>582</v>
      </c>
      <c r="E15" s="92">
        <v>30000</v>
      </c>
      <c r="F15" s="95"/>
      <c r="G15" s="92">
        <f>+Tabla25[[#This Row],[Sueldo Bruto
(RD$)]]-Tabla25[[#This Row],[ISR
(Ley 11-92)
(1*)]]</f>
        <v>30000</v>
      </c>
      <c r="H15" s="91" t="s">
        <v>35</v>
      </c>
    </row>
    <row r="16" spans="1:8" ht="30" customHeight="1">
      <c r="A16" s="91" t="s">
        <v>568</v>
      </c>
      <c r="B16" s="91" t="s">
        <v>592</v>
      </c>
      <c r="C16" s="91" t="s">
        <v>579</v>
      </c>
      <c r="D16" s="91" t="s">
        <v>583</v>
      </c>
      <c r="E16" s="92">
        <v>80000</v>
      </c>
      <c r="F16" s="96">
        <v>8582.8700000000008</v>
      </c>
      <c r="G16" s="92">
        <f>+Tabla25[[#This Row],[Sueldo Bruto
(RD$)]]-Tabla25[[#This Row],[ISR
(Ley 11-92)
(1*)]]</f>
        <v>71417.13</v>
      </c>
      <c r="H16" s="91" t="s">
        <v>35</v>
      </c>
    </row>
    <row r="17" spans="1:8" ht="30" customHeight="1">
      <c r="A17" s="91" t="s">
        <v>569</v>
      </c>
      <c r="B17" s="91" t="s">
        <v>593</v>
      </c>
      <c r="C17" s="91" t="s">
        <v>579</v>
      </c>
      <c r="D17" s="91" t="s">
        <v>581</v>
      </c>
      <c r="E17" s="92">
        <v>12500</v>
      </c>
      <c r="F17" s="95"/>
      <c r="G17" s="92">
        <f>+Tabla25[[#This Row],[Sueldo Bruto
(RD$)]]-Tabla25[[#This Row],[ISR
(Ley 11-92)
(1*)]]</f>
        <v>12500</v>
      </c>
      <c r="H17" s="91" t="s">
        <v>35</v>
      </c>
    </row>
    <row r="18" spans="1:8" ht="30" customHeight="1">
      <c r="A18" s="91" t="s">
        <v>570</v>
      </c>
      <c r="B18" s="91" t="s">
        <v>593</v>
      </c>
      <c r="C18" s="91" t="s">
        <v>579</v>
      </c>
      <c r="D18" s="91" t="s">
        <v>581</v>
      </c>
      <c r="E18" s="92">
        <v>12500</v>
      </c>
      <c r="F18" s="95"/>
      <c r="G18" s="92">
        <f>+Tabla25[[#This Row],[Sueldo Bruto
(RD$)]]-Tabla25[[#This Row],[ISR
(Ley 11-92)
(1*)]]</f>
        <v>12500</v>
      </c>
      <c r="H18" s="91" t="s">
        <v>35</v>
      </c>
    </row>
    <row r="19" spans="1:8" ht="30" customHeight="1">
      <c r="A19" s="91" t="s">
        <v>571</v>
      </c>
      <c r="B19" s="91" t="s">
        <v>594</v>
      </c>
      <c r="C19" s="91" t="s">
        <v>579</v>
      </c>
      <c r="D19" s="91" t="s">
        <v>581</v>
      </c>
      <c r="E19" s="92">
        <v>12500</v>
      </c>
      <c r="F19" s="95"/>
      <c r="G19" s="92">
        <f>+Tabla25[[#This Row],[Sueldo Bruto
(RD$)]]-Tabla25[[#This Row],[ISR
(Ley 11-92)
(1*)]]</f>
        <v>12500</v>
      </c>
      <c r="H19" s="91" t="s">
        <v>35</v>
      </c>
    </row>
    <row r="20" spans="1:8" ht="30" customHeight="1">
      <c r="A20" s="91" t="s">
        <v>572</v>
      </c>
      <c r="B20" s="91" t="s">
        <v>588</v>
      </c>
      <c r="C20" s="91" t="s">
        <v>579</v>
      </c>
      <c r="D20" s="91" t="s">
        <v>581</v>
      </c>
      <c r="E20" s="92">
        <v>12500</v>
      </c>
      <c r="F20" s="95"/>
      <c r="G20" s="92">
        <f>+Tabla25[[#This Row],[Sueldo Bruto
(RD$)]]-Tabla25[[#This Row],[ISR
(Ley 11-92)
(1*)]]</f>
        <v>12500</v>
      </c>
      <c r="H20" s="91" t="s">
        <v>35</v>
      </c>
    </row>
    <row r="21" spans="1:8" ht="30" customHeight="1">
      <c r="A21" s="91" t="s">
        <v>573</v>
      </c>
      <c r="B21" s="91" t="s">
        <v>590</v>
      </c>
      <c r="C21" s="91" t="s">
        <v>579</v>
      </c>
      <c r="D21" s="91" t="s">
        <v>581</v>
      </c>
      <c r="E21" s="92">
        <v>12500</v>
      </c>
      <c r="F21" s="95"/>
      <c r="G21" s="92">
        <f>+Tabla25[[#This Row],[Sueldo Bruto
(RD$)]]-Tabla25[[#This Row],[ISR
(Ley 11-92)
(1*)]]</f>
        <v>12500</v>
      </c>
      <c r="H21" s="91" t="s">
        <v>35</v>
      </c>
    </row>
    <row r="22" spans="1:8" ht="30" customHeight="1">
      <c r="A22" s="91" t="s">
        <v>574</v>
      </c>
      <c r="B22" s="91" t="s">
        <v>593</v>
      </c>
      <c r="C22" s="91" t="s">
        <v>579</v>
      </c>
      <c r="D22" s="91" t="s">
        <v>581</v>
      </c>
      <c r="E22" s="92">
        <v>12500</v>
      </c>
      <c r="F22" s="95"/>
      <c r="G22" s="92">
        <f>+Tabla25[[#This Row],[Sueldo Bruto
(RD$)]]-Tabla25[[#This Row],[ISR
(Ley 11-92)
(1*)]]</f>
        <v>12500</v>
      </c>
      <c r="H22" s="91" t="s">
        <v>35</v>
      </c>
    </row>
    <row r="23" spans="1:8" ht="30" customHeight="1">
      <c r="A23" s="91" t="s">
        <v>575</v>
      </c>
      <c r="B23" s="91" t="s">
        <v>595</v>
      </c>
      <c r="C23" s="91" t="s">
        <v>579</v>
      </c>
      <c r="D23" s="91" t="s">
        <v>581</v>
      </c>
      <c r="E23" s="92">
        <v>12500</v>
      </c>
      <c r="F23" s="95"/>
      <c r="G23" s="92">
        <f>+Tabla25[[#This Row],[Sueldo Bruto
(RD$)]]-Tabla25[[#This Row],[ISR
(Ley 11-92)
(1*)]]</f>
        <v>12500</v>
      </c>
      <c r="H23" s="91" t="s">
        <v>35</v>
      </c>
    </row>
    <row r="24" spans="1:8" ht="30" customHeight="1">
      <c r="A24" s="91" t="s">
        <v>576</v>
      </c>
      <c r="B24" s="91" t="s">
        <v>586</v>
      </c>
      <c r="C24" s="91" t="s">
        <v>16</v>
      </c>
      <c r="D24" s="91" t="s">
        <v>584</v>
      </c>
      <c r="E24" s="92">
        <v>50000</v>
      </c>
      <c r="F24" s="96">
        <v>2297.25</v>
      </c>
      <c r="G24" s="92">
        <f>+Tabla25[[#This Row],[Sueldo Bruto
(RD$)]]-Tabla25[[#This Row],[ISR
(Ley 11-92)
(1*)]]</f>
        <v>47702.75</v>
      </c>
      <c r="H24" s="91" t="s">
        <v>35</v>
      </c>
    </row>
    <row r="25" spans="1:8" ht="30" customHeight="1">
      <c r="A25" s="91" t="s">
        <v>577</v>
      </c>
      <c r="B25" s="91" t="s">
        <v>596</v>
      </c>
      <c r="C25" s="91" t="s">
        <v>16</v>
      </c>
      <c r="D25" s="91" t="s">
        <v>358</v>
      </c>
      <c r="E25" s="92">
        <v>35000</v>
      </c>
      <c r="F25" s="96">
        <v>47.25</v>
      </c>
      <c r="G25" s="92">
        <f>+Tabla25[[#This Row],[Sueldo Bruto
(RD$)]]-Tabla25[[#This Row],[ISR
(Ley 11-92)
(1*)]]</f>
        <v>34952.75</v>
      </c>
      <c r="H25" s="91" t="s">
        <v>35</v>
      </c>
    </row>
    <row r="26" spans="1:8" ht="30" customHeight="1">
      <c r="A26" s="91" t="s">
        <v>578</v>
      </c>
      <c r="B26" s="91" t="s">
        <v>597</v>
      </c>
      <c r="C26" s="91" t="s">
        <v>16</v>
      </c>
      <c r="D26" s="94" t="s">
        <v>358</v>
      </c>
      <c r="E26" s="93">
        <v>30000</v>
      </c>
      <c r="F26" s="93"/>
      <c r="G26" s="92">
        <f>+Tabla25[[#This Row],[Sueldo Bruto
(RD$)]]-Tabla25[[#This Row],[ISR
(Ley 11-92)
(1*)]]</f>
        <v>30000</v>
      </c>
      <c r="H26" s="91" t="s">
        <v>35</v>
      </c>
    </row>
    <row r="27" spans="1:8" ht="21">
      <c r="A27" s="83" t="s">
        <v>314</v>
      </c>
      <c r="B27" s="83"/>
      <c r="C27" s="84"/>
      <c r="D27" s="85"/>
      <c r="E27" s="86">
        <f>SUBTOTAL(109,Tabla25[Sueldo Bruto
(RD$)])</f>
        <v>436500</v>
      </c>
      <c r="F27" s="86">
        <f>SUBTOTAL(109,Tabla25[ISR
(Ley 11-92)
(1*)])</f>
        <v>15123.25</v>
      </c>
      <c r="G27" s="86">
        <f>SUBTOTAL(109,Tabla25[Sueldo
Neto
(RD$)])</f>
        <v>421376.75</v>
      </c>
      <c r="H27" s="87"/>
    </row>
    <row r="29" spans="1:8">
      <c r="C29" s="9"/>
    </row>
    <row r="30" spans="1:8">
      <c r="A30" s="8" t="s">
        <v>315</v>
      </c>
      <c r="B30" s="8"/>
      <c r="C30" s="10"/>
    </row>
    <row r="31" spans="1:8">
      <c r="A31" s="9" t="s">
        <v>316</v>
      </c>
      <c r="B31" s="9"/>
      <c r="C31" s="10"/>
    </row>
    <row r="32" spans="1:8" ht="18.75">
      <c r="A32" s="11"/>
      <c r="B32" s="11"/>
      <c r="C32" s="13"/>
    </row>
    <row r="33" spans="1:3" ht="16.5">
      <c r="A33" s="12"/>
      <c r="B33" s="12"/>
    </row>
    <row r="34" spans="1:3" ht="16.5">
      <c r="A34" s="12"/>
      <c r="B34" s="12"/>
    </row>
    <row r="35" spans="1:3" ht="23.25">
      <c r="C35" s="16"/>
    </row>
    <row r="36" spans="1:3" ht="26.25">
      <c r="A36" s="14" t="s">
        <v>319</v>
      </c>
      <c r="B36" s="97"/>
      <c r="C36" s="19"/>
    </row>
    <row r="37" spans="1:3" ht="25.5">
      <c r="A37" s="17" t="s">
        <v>320</v>
      </c>
      <c r="B37" s="17"/>
    </row>
  </sheetData>
  <mergeCells count="2">
    <mergeCell ref="A1:H1"/>
    <mergeCell ref="A2:H2"/>
  </mergeCells>
  <printOptions horizontalCentered="1"/>
  <pageMargins left="0.59055118110236227" right="0.39370078740157483" top="0.74803149606299213" bottom="0.74803149606299213" header="0.31496062992125984" footer="0.31496062992125984"/>
  <pageSetup paperSize="5" scale="52" orientation="landscape" r:id="rId1"/>
  <ignoredErrors>
    <ignoredError sqref="G9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PERSONAL FIJO 082022</vt:lpstr>
      <vt:lpstr>EMPLEADOS TEMPORALES 082022</vt:lpstr>
      <vt:lpstr>PERIODO PROBATORIO 082022</vt:lpstr>
      <vt:lpstr>TRAMITE DE PENSION 082022 </vt:lpstr>
      <vt:lpstr>COMPENSACIÓN 082022</vt:lpstr>
      <vt:lpstr>'EMPLEADOS TEMPORALES 082022'!Títulos_a_imprimir</vt:lpstr>
      <vt:lpstr>'PERSONAL FIJO 082022'!Títulos_a_imprimir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Jhosua Peralta Rodriguez</dc:creator>
  <cp:lastModifiedBy>Jhosua Peralta Rodriguez</cp:lastModifiedBy>
  <cp:lastPrinted>2022-08-31T15:52:11Z</cp:lastPrinted>
  <dcterms:created xsi:type="dcterms:W3CDTF">2022-06-30T17:03:37Z</dcterms:created>
  <dcterms:modified xsi:type="dcterms:W3CDTF">2022-08-31T15:55:29Z</dcterms:modified>
</cp:coreProperties>
</file>